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tabRatio="803" activeTab="1"/>
  </bookViews>
  <sheets>
    <sheet name="1-ԱՄՓՈՓ" sheetId="1" r:id="rId1"/>
    <sheet name="2-ԸՆԴԱՄԵՆԸ ԾԱԽՍԵՐ" sheetId="2" r:id="rId2"/>
    <sheet name="3-Ծախսերի բացվածք (2)" sheetId="3" r:id="rId3"/>
    <sheet name="4-ԿԱՊ (2)" sheetId="4" r:id="rId4"/>
    <sheet name="7-էլ-էներգիա" sheetId="5" r:id="rId5"/>
    <sheet name="8-էլ-էներգիա-ջեռուցում" sheetId="6" r:id="rId6"/>
    <sheet name="9-գազով ջեռուցում" sheetId="7" r:id="rId7"/>
    <sheet name="10-գործուղում (2)" sheetId="8" r:id="rId8"/>
    <sheet name="11-ավտոմեքենա (2)" sheetId="9" r:id="rId9"/>
    <sheet name="12-վարչական սարքավորումներ" sheetId="10" r:id="rId10"/>
    <sheet name="13համազգեստ" sheetId="11" r:id="rId11"/>
    <sheet name="14տարածքներ" sheetId="12" r:id="rId12"/>
    <sheet name="15ընթացիկ նորոգում" sheetId="13" r:id="rId13"/>
    <sheet name="16վերապատրաստում" sheetId="14" r:id="rId14"/>
    <sheet name="17կառուցվածք" sheetId="15" r:id="rId15"/>
    <sheet name="18հաստիքացուցակ" sheetId="16" r:id="rId16"/>
    <sheet name="31աշխատավարձի ֆոնդ" sheetId="17" r:id="rId17"/>
  </sheets>
  <definedNames>
    <definedName name="_xlnm.Print_Titles" localSheetId="1">'2-ԸՆԴԱՄԵՆԸ ԾԱԽՍԵՐ'!$6:$8</definedName>
  </definedNames>
  <calcPr fullCalcOnLoad="1"/>
</workbook>
</file>

<file path=xl/comments4.xml><?xml version="1.0" encoding="utf-8"?>
<comments xmlns="http://schemas.openxmlformats.org/spreadsheetml/2006/main">
  <authors>
    <author>Marine Shishyan</author>
  </authors>
  <commentList>
    <comment ref="D34" authorId="0">
      <text>
        <r>
          <rPr>
            <b/>
            <sz val="9"/>
            <rFont val="Tahoma"/>
            <family val="2"/>
          </rPr>
          <t>տե՛ս ներքևում՝ հղում 2-ը
=E34+G34</t>
        </r>
      </text>
    </comment>
    <comment ref="D36" authorId="0">
      <text>
        <r>
          <rPr>
            <b/>
            <sz val="9"/>
            <rFont val="Tahoma"/>
            <family val="2"/>
          </rPr>
          <t>տե՛ս ներքևում՝ հղում 1-ը</t>
        </r>
      </text>
    </comment>
  </commentList>
</comments>
</file>

<file path=xl/sharedStrings.xml><?xml version="1.0" encoding="utf-8"?>
<sst xmlns="http://schemas.openxmlformats.org/spreadsheetml/2006/main" count="1603" uniqueCount="827">
  <si>
    <t>.</t>
  </si>
  <si>
    <t>x</t>
  </si>
  <si>
    <t>I</t>
  </si>
  <si>
    <t>II</t>
  </si>
  <si>
    <t>III</t>
  </si>
  <si>
    <t>NN</t>
  </si>
  <si>
    <t>*</t>
  </si>
  <si>
    <t>V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</si>
  <si>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</si>
  <si>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</si>
  <si>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</si>
  <si>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</si>
  <si>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</si>
  <si>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</si>
  <si>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</si>
  <si>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</si>
  <si>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</si>
  <si>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</si>
  <si>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</si>
  <si>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</si>
  <si>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</si>
  <si>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</si>
  <si>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</si>
  <si>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</si>
  <si>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</si>
  <si>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</si>
  <si>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</si>
  <si>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</si>
  <si>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</si>
  <si>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</si>
  <si>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</si>
  <si>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</si>
  <si>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</si>
  <si>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</si>
  <si>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</si>
  <si>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</si>
  <si>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</si>
  <si>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</si>
  <si>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</si>
  <si>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</si>
  <si>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</si>
  <si>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</si>
  <si>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</si>
  <si>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</si>
  <si>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</si>
  <si>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</si>
  <si>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</si>
  <si>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</si>
  <si>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</si>
  <si>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</si>
  <si>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</si>
  <si>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</si>
  <si>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</si>
  <si>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</si>
  <si>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</si>
  <si>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</si>
  <si>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</si>
  <si>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</si>
  <si>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</si>
  <si>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</si>
  <si>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Բաժանորդային վարձ</t>
  </si>
  <si>
    <t>Ղեկավարի խորհրդական</t>
  </si>
  <si>
    <t>Ղեկավարի օգնական</t>
  </si>
  <si>
    <t>Ընդամենը</t>
  </si>
  <si>
    <t>հ/հ</t>
  </si>
  <si>
    <t>Հ/Հ</t>
  </si>
  <si>
    <t>Ձև N 7</t>
  </si>
  <si>
    <t>Ինտերնետ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</si>
  <si>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</si>
  <si>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</si>
  <si>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</si>
  <si>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</si>
  <si>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</si>
  <si>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</si>
  <si>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</si>
  <si>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</si>
  <si>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</si>
  <si>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</si>
  <si>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</si>
  <si>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</si>
  <si>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</si>
  <si>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</si>
  <si>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</si>
  <si>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</si>
  <si>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</si>
  <si>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</si>
  <si>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Ընդամենը ջեռուցման համար էլեկտրաէներգիայի ծախս               (հազ. դրամ)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</si>
  <si>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</si>
  <si>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</si>
  <si>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</si>
  <si>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</si>
  <si>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</si>
  <si>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</si>
  <si>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</si>
  <si>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</si>
  <si>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</si>
  <si>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</si>
  <si>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</si>
  <si>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</si>
  <si>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</si>
  <si>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</si>
  <si>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</si>
  <si>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</si>
  <si>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</si>
  <si>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</si>
  <si>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</si>
  <si>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</si>
  <si>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</si>
  <si>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</si>
  <si>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</si>
  <si>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</si>
  <si>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</si>
  <si>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>Ձև N 12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</si>
  <si>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</si>
  <si>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</si>
  <si>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</si>
  <si>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</si>
  <si>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Ձև N 13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</si>
  <si>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</si>
  <si>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</si>
  <si>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</si>
  <si>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</si>
  <si>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</si>
  <si>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Համազգեստի տարրերը</t>
  </si>
  <si>
    <t>Տվյալ համա զգեստը կրողների թիվը</t>
  </si>
  <si>
    <t>Կրման ժամկետը (տարի)</t>
  </si>
  <si>
    <t>Քանակը մեկ մարդու համար</t>
  </si>
  <si>
    <t xml:space="preserve">Մեկ   միավորի  գինը </t>
  </si>
  <si>
    <t>տարեթիվը</t>
  </si>
  <si>
    <t>Ընդամենը գումարը</t>
  </si>
  <si>
    <t>Ձեռքբերման</t>
  </si>
  <si>
    <t xml:space="preserve">Կարող է կրել մինչև </t>
  </si>
  <si>
    <t xml:space="preserve">Տարբերությունը            </t>
  </si>
  <si>
    <t xml:space="preserve">
Ընդամենը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</si>
  <si>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</si>
  <si>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</si>
  <si>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</si>
  <si>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</si>
  <si>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</si>
  <si>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</si>
  <si>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</si>
  <si>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</si>
  <si>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</si>
  <si>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</si>
  <si>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Բարձր լեռնային վայրերում աշխատելու համար հավելում</t>
  </si>
  <si>
    <t>Այլ հավելա վճարներ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</si>
  <si>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</si>
  <si>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</si>
  <si>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</si>
  <si>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</si>
  <si>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</si>
  <si>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Դիվանագիտական ծառայողներ</t>
  </si>
  <si>
    <t xml:space="preserve">Սահմանվող պաշտոնային դրույքաչափը </t>
  </si>
  <si>
    <t>Հավելավճարներ</t>
  </si>
  <si>
    <t>Դատավորներ</t>
  </si>
  <si>
    <t xml:space="preserve">Ընդամենը ամսական աշխատա վարձի ֆոնդ  </t>
  </si>
  <si>
    <t>Դատախազներ</t>
  </si>
  <si>
    <t xml:space="preserve">Ընդամենը </t>
  </si>
  <si>
    <t>Հարկային ծառայողներ</t>
  </si>
  <si>
    <t>Մաքսային ծառայողներ</t>
  </si>
  <si>
    <t>Հարկադիր կատարողներ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</si>
  <si>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</si>
  <si>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</si>
  <si>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</si>
  <si>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</si>
  <si>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</si>
  <si>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</si>
  <si>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</si>
  <si>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</si>
  <si>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</si>
  <si>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</si>
  <si>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</si>
  <si>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Սահմանվող պաշտոնային դրույքաչափը /դրամ/</t>
  </si>
  <si>
    <t xml:space="preserve">Հաստիքային միավորների թիվը </t>
  </si>
  <si>
    <t xml:space="preserve">Ամսական աշխատա    վարձի ֆոնդ    </t>
  </si>
  <si>
    <t xml:space="preserve">Ընդամենը տարեկան աշխատա վարձի ֆոնդ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</si>
  <si>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</si>
  <si>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</si>
  <si>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</si>
  <si>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</si>
  <si>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</si>
  <si>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>ՀՀ պետական մարմինների տեխնիկայի միջոցների և գրասենյակային գույքի վերաբերյալ</t>
  </si>
  <si>
    <t>Պետական մարմնի կառուցվածքի և աշխատողների թվի վերաբերյալ</t>
  </si>
  <si>
    <t xml:space="preserve">Հայեցողական պաշտոններ </t>
  </si>
  <si>
    <t>խորհրդական</t>
  </si>
  <si>
    <t>օգնական</t>
  </si>
  <si>
    <t>մամուլի քարտուղար</t>
  </si>
  <si>
    <t>IV</t>
  </si>
  <si>
    <t xml:space="preserve">Ընդամենը աշխատողների թվաքանակը </t>
  </si>
  <si>
    <t>Նշել մարմնի կառուցվածքը  հաստատող  համապատասխան իրավական ակտի տարեթիվը և համարը</t>
  </si>
  <si>
    <t xml:space="preserve">Ընդամենը ամսական աշխատա վարձ  </t>
  </si>
  <si>
    <t>Ընդամենը ամսական աշխատավարձ</t>
  </si>
  <si>
    <t>Ընդամենը ամսական աշխատավարձ  /ս.8+ս.9+ս.10/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</si>
  <si>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</si>
  <si>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</si>
  <si>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</si>
  <si>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</si>
  <si>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</si>
  <si>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Պետական մարմնի կողմից զբաղեցված տարածքների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</si>
  <si>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</si>
  <si>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</si>
  <si>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</si>
  <si>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</si>
  <si>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</si>
  <si>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</si>
  <si>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</si>
  <si>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</si>
  <si>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</si>
  <si>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</si>
  <si>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</si>
  <si>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</si>
  <si>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</si>
  <si>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</si>
  <si>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</si>
  <si>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</si>
  <si>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>հոդվածի կոդը</t>
  </si>
  <si>
    <t>Ձև N 3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</si>
  <si>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</si>
  <si>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</si>
  <si>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</si>
  <si>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</si>
  <si>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</si>
  <si>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</si>
  <si>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</si>
  <si>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</si>
  <si>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</si>
  <si>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</si>
  <si>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</si>
  <si>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</si>
  <si>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</si>
  <si>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</si>
  <si>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</si>
  <si>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</si>
  <si>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</si>
  <si>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</si>
  <si>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</si>
  <si>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</si>
  <si>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</si>
  <si>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>(լրացնել ծրագրի անվանումը)</t>
  </si>
  <si>
    <t>(լրացնել միջոցառման անվանումը)</t>
  </si>
  <si>
    <t>ենթակա է պարտադիր լրացման</t>
  </si>
  <si>
    <t>Պետական հատվածի տարբեր մակարդակների կողմից միմյանց նկատմամբ կիրառվող տույժեր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</si>
  <si>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</si>
  <si>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</si>
  <si>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</si>
  <si>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</si>
  <si>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</si>
  <si>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</si>
  <si>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</si>
  <si>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</si>
  <si>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</si>
  <si>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</si>
  <si>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</si>
  <si>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</si>
  <si>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</si>
  <si>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r>
      <t>*</t>
    </r>
    <r>
      <rPr>
        <sz val="8"/>
        <rFont val="GHEA Grapalat"/>
        <family val="3"/>
      </rPr>
      <t xml:space="preserve">Սահմանվող պաշտոնային դրույքաչափը /ս.7 x բազային աշխատավարձ/ </t>
    </r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</si>
  <si>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</si>
  <si>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</si>
  <si>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</si>
  <si>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Մարմնի ղեկավար</t>
  </si>
  <si>
    <t>Մարմնի ղեկավարի տեղակալ</t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</si>
  <si>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</si>
  <si>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</si>
  <si>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</si>
  <si>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</si>
  <si>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</si>
  <si>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3100..</t>
  </si>
  <si>
    <t>1100..</t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</si>
  <si>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</si>
  <si>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</si>
  <si>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</si>
  <si>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</si>
  <si>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</si>
  <si>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2023թ.</t>
  </si>
  <si>
    <t>Վարձակալությամբ/ենթավարձակալությամբ գույքը հանձնող սուբյեկտի անվանումը՝ ըստ  պայմանագրի</t>
  </si>
  <si>
    <t xml:space="preserve">Գործակից /2023թ. հուլիսի 1-ի դրությամբ/  </t>
  </si>
  <si>
    <t xml:space="preserve">Ընդամենը ամսական աշխատավարձ  </t>
  </si>
  <si>
    <t>Տվյալ պաշտոնում աշխատանքային ստաժը /2023թ. հուլիսի 1-ի դրությամբ/  (տարի/ամիս)</t>
  </si>
  <si>
    <t>2024թ.</t>
  </si>
  <si>
    <t>2023թ. ընդամենը գումարը  /հազ.դրամ/</t>
  </si>
  <si>
    <t>2024թ. ընդամենը գումարը  /հազ.դրամ/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</si>
  <si>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</si>
  <si>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</si>
  <si>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</si>
  <si>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</si>
  <si>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</si>
  <si>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</si>
  <si>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r>
      <t>**</t>
    </r>
    <r>
      <rPr>
        <sz val="10"/>
        <rFont val="GHEA Grapalat"/>
        <family val="3"/>
      </rPr>
      <t>Քաղաքացիական /պետական/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</si>
  <si>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2025թ. բյուջետային  հայտ</t>
  </si>
  <si>
    <t>2025թ.</t>
  </si>
  <si>
    <t>2022թ. բյուջեով նախատեսված գումարը</t>
  </si>
  <si>
    <t>2025թ. ընդամենը գումարը  /հազ.դրամ/</t>
  </si>
  <si>
    <t>Յուրաքանչյուր մարմնի համար լրացնել ՀՀ կառավարության համապատասխան որոշման պահանջների համաձայն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</si>
  <si>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</si>
  <si>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</si>
  <si>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</si>
  <si>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</si>
  <si>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</si>
  <si>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</si>
  <si>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</si>
  <si>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</si>
  <si>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>Մեկ ժամի վերապատրաստման արժեքը                                        (դրամ)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</si>
  <si>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</si>
  <si>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</si>
  <si>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</si>
  <si>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</si>
  <si>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</si>
  <si>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</si>
  <si>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</si>
  <si>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</si>
  <si>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</si>
  <si>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</si>
  <si>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</si>
  <si>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</si>
  <si>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․․․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</si>
  <si>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</si>
  <si>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</si>
  <si>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</si>
  <si>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</si>
  <si>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</si>
  <si>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</si>
  <si>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</si>
  <si>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</si>
  <si>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</si>
  <si>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</si>
  <si>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</si>
  <si>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</si>
  <si>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</si>
  <si>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</si>
  <si>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</si>
  <si>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</si>
  <si>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</si>
  <si>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</si>
  <si>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</si>
  <si>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</si>
  <si>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</si>
  <si>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</si>
  <si>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</si>
  <si>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</si>
  <si>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 xml:space="preserve"> քաղաքացիական (պետական) ծառայողների մասնագիտական վերապատրաստումների գծով ծախսերի</t>
  </si>
  <si>
    <t>ՀՀ Գեղարքունիքի մարզպետարան</t>
  </si>
  <si>
    <t>Էլ-էներգիա</t>
  </si>
  <si>
    <t>էլեկտրականությամբ ջեռուցում</t>
  </si>
  <si>
    <t>գազի բաշխում</t>
  </si>
  <si>
    <t>ախտահանման և մակաբույծների ոչնչացման ծառայություններ</t>
  </si>
  <si>
    <t>Կապի ծառայություններ՝ այդ թվում</t>
  </si>
  <si>
    <t>միջքաղաքային հեռախոսային ծառայություւներ</t>
  </si>
  <si>
    <t>բջջային կապի ծառայություններ</t>
  </si>
  <si>
    <t>փոստային ծառայություններ</t>
  </si>
  <si>
    <t>հատուկ կապ</t>
  </si>
  <si>
    <t>ներքին գործուղումներ</t>
  </si>
  <si>
    <t>Համակարգչային ծառայություններ՝ այդ թվում</t>
  </si>
  <si>
    <t>ծրագրային ապահովման սպասարկման ծառայություններ</t>
  </si>
  <si>
    <t>հակավիրուսային համակարգչային ծրագրերի փաթեթներ</t>
  </si>
  <si>
    <t>Տեղեկատվական ծառայություններ՝ այդ թվում</t>
  </si>
  <si>
    <t>թերթերի բաժանորդագրման ծառայություններ</t>
  </si>
  <si>
    <t>թերթերում հայտարարությունների տպագրման ծառայություններ</t>
  </si>
  <si>
    <t>այդ թվում` ներքին աուդիտի ծառայություն</t>
  </si>
  <si>
    <t>Մարզպետ</t>
  </si>
  <si>
    <t xml:space="preserve"> մարզպետի տեղակալ </t>
  </si>
  <si>
    <t>թափուր</t>
  </si>
  <si>
    <t>Մարզպետի խորհրդական</t>
  </si>
  <si>
    <t>Մարզպետի օգնական</t>
  </si>
  <si>
    <t xml:space="preserve"> մարզպետի  տեղակալի օգնական</t>
  </si>
  <si>
    <t>Քաղաքացիական /պետական, հատուկ/ ծառայողներ</t>
  </si>
  <si>
    <t>Սևակ Հովհաննեսի ԽլղաթյանԲ/1</t>
  </si>
  <si>
    <t>94-Ղ2-1</t>
  </si>
  <si>
    <t>Յուրա Ռաֆիկի  Մուշեղյան</t>
  </si>
  <si>
    <t>վարչ. պետ</t>
  </si>
  <si>
    <t xml:space="preserve">Գոռ  Սարգսի Ղազարյան    </t>
  </si>
  <si>
    <t>բաժնի պետ</t>
  </si>
  <si>
    <t xml:space="preserve">Մերի Անդրանիկի Հակոբյան  </t>
  </si>
  <si>
    <t>Գլխ մասնագետ</t>
  </si>
  <si>
    <t xml:space="preserve">Արսեն Գագիկի Մելքոնյան </t>
  </si>
  <si>
    <t>Մհեր Վարազդատի Կյուրեղյան</t>
  </si>
  <si>
    <t>գլխ մասնագետ</t>
  </si>
  <si>
    <t>մասնագետ</t>
  </si>
  <si>
    <t>Հաշվապահական հաշվառման բաժին</t>
  </si>
  <si>
    <t xml:space="preserve"> Նելսոն Վարդկեսի   Սարգսյան  </t>
  </si>
  <si>
    <t xml:space="preserve">Դավիթ Դորվարդի Սահակյան </t>
  </si>
  <si>
    <t xml:space="preserve">Արթուր  Ավետիքի Բադեյան  </t>
  </si>
  <si>
    <t xml:space="preserve">Թագուհի Գևորգի Մոմչյան </t>
  </si>
  <si>
    <t xml:space="preserve">  Հարությունյան Վանիկ Ժորայի </t>
  </si>
  <si>
    <t>Հրանդիկ Դերենիկի Օհանյան</t>
  </si>
  <si>
    <t xml:space="preserve">Արտակ  Աուրենի  Սարգսյան  </t>
  </si>
  <si>
    <t xml:space="preserve">  Խաժակ Երջանիկի Սուչյան </t>
  </si>
  <si>
    <t xml:space="preserve">Կրթության, մշակույթի և սպորտի   վարչության  </t>
  </si>
  <si>
    <t xml:space="preserve">Կարեն Լյուդվիկի  Զազյան  </t>
  </si>
  <si>
    <t>վարչության պետ</t>
  </si>
  <si>
    <t xml:space="preserve">Համբարձում Սարիբեկի Սաֆարյան  </t>
  </si>
  <si>
    <t xml:space="preserve">  Վարդինե Հովիկի Դադոյան </t>
  </si>
  <si>
    <t xml:space="preserve">Գևորգ Ռաֆիկի Գևորգյան  </t>
  </si>
  <si>
    <t>ավագ մասնագետ</t>
  </si>
  <si>
    <t xml:space="preserve">Արև Միշայի Արզաքանցյան  </t>
  </si>
  <si>
    <t xml:space="preserve">Գեղամ Գևորգի Չարվադարյան  </t>
  </si>
  <si>
    <t xml:space="preserve">Արփիկ Հարությունի Չքոլյան   </t>
  </si>
  <si>
    <t xml:space="preserve">Մարտին Ռազմիկի Պետրոսյան   </t>
  </si>
  <si>
    <t>Անդրանիկ Գոյմանի Ջրաղացպանյան</t>
  </si>
  <si>
    <t xml:space="preserve">Շահբազյան Կարինե </t>
  </si>
  <si>
    <t xml:space="preserve"> Սիրաս Վոլոդյայի Օհանյան </t>
  </si>
  <si>
    <t xml:space="preserve">Ալմոյան Միքայել  Վանիկի  </t>
  </si>
  <si>
    <t xml:space="preserve">Դավիթ  Սամվելի  Զանգեզուրյան </t>
  </si>
  <si>
    <t xml:space="preserve">Լուսինե Կառլենի Վարդանյան </t>
  </si>
  <si>
    <t>վարչութ. պետ</t>
  </si>
  <si>
    <t xml:space="preserve">Սևակ Սաշայի  Դվոյան  </t>
  </si>
  <si>
    <t xml:space="preserve">Արմեն Վաչագանի Բադոյան </t>
  </si>
  <si>
    <t>Աղավնի  Մարտինի  Պետրոսյան</t>
  </si>
  <si>
    <t xml:space="preserve">Մարիետա Արտաշեսի Նիկոյան </t>
  </si>
  <si>
    <t xml:space="preserve"> գլխավորմասնագետ</t>
  </si>
  <si>
    <t xml:space="preserve">  Արմեն Վազգենի Առաքելյան </t>
  </si>
  <si>
    <t>վարչ.պետ</t>
  </si>
  <si>
    <t xml:space="preserve">Հակոբ Ավետիքի Հարությունյան </t>
  </si>
  <si>
    <t xml:space="preserve">Արև Վահանի  Խաչատրյան  </t>
  </si>
  <si>
    <t xml:space="preserve">Հակոբջան Գրիշայի Բիձյան </t>
  </si>
  <si>
    <t xml:space="preserve">Ատոմ Ալբերտի Աղեկյան  </t>
  </si>
  <si>
    <t xml:space="preserve">Մարտիկ Գառնիկի Բաղոյան </t>
  </si>
  <si>
    <t xml:space="preserve">Գևորգ Ջանիկի  Խաչատրյան  </t>
  </si>
  <si>
    <t xml:space="preserve">Կարեն  Կառլոսի Բաղդասարյան </t>
  </si>
  <si>
    <t>Հարությունյան Ալեքսան Խաչիկի</t>
  </si>
  <si>
    <t xml:space="preserve">Մարատ Գյորգու Ղուրշուդյան </t>
  </si>
  <si>
    <t xml:space="preserve">Սևակ Ռուբիկի Գասպարյան </t>
  </si>
  <si>
    <t xml:space="preserve"> Գևորգ Վահագնի Թովմասյան  </t>
  </si>
  <si>
    <t>Անձնակազմի կառավարման բաժին</t>
  </si>
  <si>
    <t xml:space="preserve">Մարինե Նորիկի Գյարզոյան </t>
  </si>
  <si>
    <t>բարեվարքության հարց.կազմակերպիչ</t>
  </si>
  <si>
    <t>Թեհմինա Վանիկի Հարությունյան</t>
  </si>
  <si>
    <t>Հասմիկ Սարգսի Շահբազյան</t>
  </si>
  <si>
    <t xml:space="preserve">Խոսրով Խլղաթյան </t>
  </si>
  <si>
    <t xml:space="preserve">Ֆելիքս Լիպարիտի Ղազարյան </t>
  </si>
  <si>
    <t xml:space="preserve">Մկրտիչ  Վանիկի Ղազազյան </t>
  </si>
  <si>
    <t xml:space="preserve">Իրավաբանական    բաժին </t>
  </si>
  <si>
    <t>բաժնի պետ գլխ իրավաբան</t>
  </si>
  <si>
    <t>Բուրմումք Վանիկի Հովհաննիսյան Ա/1</t>
  </si>
  <si>
    <t xml:space="preserve">Գալոյան Մամիկոն Միշայի  </t>
  </si>
  <si>
    <t xml:space="preserve">Սեդա Սերյոժայի Խաչատրյան </t>
  </si>
  <si>
    <t xml:space="preserve">Արմինե Արմենի Կոստանյան    </t>
  </si>
  <si>
    <t xml:space="preserve">Հակոբյան  Տիգրան  </t>
  </si>
  <si>
    <t>Բաժնի պետ</t>
  </si>
  <si>
    <t xml:space="preserve">Մարինե Գրիշայի Բիձյան </t>
  </si>
  <si>
    <t xml:space="preserve">Վերգինե Վահանի Ղուկասյան     </t>
  </si>
  <si>
    <t>Սիմոն Սերոժի Մանուկյան</t>
  </si>
  <si>
    <t xml:space="preserve">Աննա  Սոսի  Բոշյան       </t>
  </si>
  <si>
    <t xml:space="preserve">Մարիետա Սերյոժայի Մարդոյան </t>
  </si>
  <si>
    <t>94-2,1-Մ6-2</t>
  </si>
  <si>
    <t xml:space="preserve">  ՎարդինեԳագիկի Խանձրածյան </t>
  </si>
  <si>
    <t>Մարզպետի գործավար</t>
  </si>
  <si>
    <t xml:space="preserve">վարորդ </t>
  </si>
  <si>
    <t>Ալմոյան Վարուժան</t>
  </si>
  <si>
    <t>Պարետ</t>
  </si>
  <si>
    <t>Պապին Գեղամյան</t>
  </si>
  <si>
    <t>պահակ</t>
  </si>
  <si>
    <t>Երվանդ Հակոբյան</t>
  </si>
  <si>
    <t>Ղաջոյան  Հովիկ</t>
  </si>
  <si>
    <t>Ասլիկյան Ռազմիկ</t>
  </si>
  <si>
    <t>Բախտիկյան Ալվարդ</t>
  </si>
  <si>
    <t>հավաքարար</t>
  </si>
  <si>
    <t>Թումանյան Ծովինար</t>
  </si>
  <si>
    <t>Զանգեզուրյան Սաթենիկ</t>
  </si>
  <si>
    <t>Մանուկյան Նվարդ</t>
  </si>
  <si>
    <t>Ավետիսյան Հրանուշ</t>
  </si>
  <si>
    <t>Հայտատուի  անվանումը ՝ՀՀ Գեղարքունիքի մարզպետարան</t>
  </si>
  <si>
    <t xml:space="preserve">Արտաքին լուսավորության </t>
  </si>
  <si>
    <t>Ներքին լուսավորություն</t>
  </si>
  <si>
    <t>Օդորակիչներ</t>
  </si>
  <si>
    <t>ՀՀ գեղարքունիքի մարզպետարան</t>
  </si>
  <si>
    <t>Մարզպետարան</t>
  </si>
  <si>
    <t>Երևան</t>
  </si>
  <si>
    <t>Ճամբարակ</t>
  </si>
  <si>
    <t>Վարդենիս</t>
  </si>
  <si>
    <t>Տոյոտա Կորոլա</t>
  </si>
  <si>
    <t>Կրթության, Մշակույթի և Սպորտի վարչություն</t>
  </si>
  <si>
    <t>Իրավաբանական բաժին</t>
  </si>
  <si>
    <t>Զարգացման Ծրագրերի, Զբոսաշրջության և վերլուծության բաժին</t>
  </si>
  <si>
    <t>Զորահավաքային նախապատրաստության բաժին</t>
  </si>
  <si>
    <t>Ձև N 29</t>
  </si>
  <si>
    <t>Քննչական կոմիտեի ծառայողներ</t>
  </si>
  <si>
    <t>Հատուկ քննչական ծառայության ծառայողներ</t>
  </si>
  <si>
    <t>Կարեն Սարգսյան</t>
  </si>
  <si>
    <t>Վահան Զարոյան</t>
  </si>
  <si>
    <t>Ջանիկ Բազեյան</t>
  </si>
  <si>
    <t>Մանանա Գալստյան</t>
  </si>
  <si>
    <t>Մարիամ Կարապետյան</t>
  </si>
  <si>
    <t>Ազգանուշ Աֆրիկյասն</t>
  </si>
  <si>
    <t>Գայանե Լալազարյան</t>
  </si>
  <si>
    <t>Մերի Խաչատրյան</t>
  </si>
  <si>
    <t>2024թ</t>
  </si>
  <si>
    <t>Համակարգիչ Fujitsu</t>
  </si>
  <si>
    <t>Համակարգիչ HP կոմպլեկտ</t>
  </si>
  <si>
    <t>Համակարգիչ Core</t>
  </si>
  <si>
    <t>Համակարգիչ Սամսունգ</t>
  </si>
  <si>
    <t>Համակարգչի կոմպլեկտ</t>
  </si>
  <si>
    <t>Համակարգիչ Ինտեքս</t>
  </si>
  <si>
    <t>Համակարգիչ Քենոն</t>
  </si>
  <si>
    <t>Համակարգիչ</t>
  </si>
  <si>
    <t>սեղանի համակարգիչ Lenovo</t>
  </si>
  <si>
    <t>ՀՀ Գեղարքունիքի մարզ ք․Գավառ Կենտրոնական հրապարակ 7</t>
  </si>
  <si>
    <t>Հրեպատ/ա/USG20-vpu</t>
  </si>
  <si>
    <t>Տպիչ Քենոն</t>
  </si>
  <si>
    <t>Տպիչ HP</t>
  </si>
  <si>
    <t>Տպիչ սկաներ</t>
  </si>
  <si>
    <t>Տպիչ</t>
  </si>
  <si>
    <t>Քսերոքս KH-1535</t>
  </si>
  <si>
    <t>Սկաներ HP G2710</t>
  </si>
  <si>
    <t>Սկաներ xerox</t>
  </si>
  <si>
    <t>Քսերոքսի ապարատ</t>
  </si>
  <si>
    <t>ֆաքսի ապարատ</t>
  </si>
  <si>
    <t>Լազերային տպիչներ</t>
  </si>
  <si>
    <t>Տպիչ սարք բազմաֆունկցիոնալ</t>
  </si>
  <si>
    <t>Կռունկաձև պրոեկտոր</t>
  </si>
  <si>
    <t>Սկաներ</t>
  </si>
  <si>
    <t>Սեղանի համակարգիչներ</t>
  </si>
  <si>
    <t>տպիչ,սարք բազմաֆունկցիոնալ Canon i-SENSYS</t>
  </si>
  <si>
    <t>սկաներ Canon CanoScan Lide 220</t>
  </si>
  <si>
    <t>տպիչ Canon</t>
  </si>
  <si>
    <t>Պատճենահանման մեքենա</t>
  </si>
  <si>
    <t>սերվեր</t>
  </si>
  <si>
    <t>Էլեկտրական սնուցման պարագաներ</t>
  </si>
  <si>
    <t>անխափան սնուցման սարք</t>
  </si>
  <si>
    <t>Տեսախցիկ</t>
  </si>
  <si>
    <t>Կոնդիցիոներ</t>
  </si>
  <si>
    <t>Օդափոխիչներ</t>
  </si>
  <si>
    <t>ջրի ապարատ</t>
  </si>
  <si>
    <t>Թվային լուսանկարչական ապարատ</t>
  </si>
  <si>
    <t>Ձայնագրիչ վերարտադրելու հնարավորությամբ</t>
  </si>
  <si>
    <t>Գազի կաթսա</t>
  </si>
  <si>
    <t>Տերմոմետր</t>
  </si>
  <si>
    <t>Հեռախոսի ապարատ</t>
  </si>
  <si>
    <t>Ջահ</t>
  </si>
  <si>
    <t>Գրասեղան ղեկավարի</t>
  </si>
  <si>
    <t>Գրասեղան մեկ տումբանի</t>
  </si>
  <si>
    <t>Գրասեղան երկու տումբանի</t>
  </si>
  <si>
    <t>Գրասեղան հին</t>
  </si>
  <si>
    <t>Գրապահարան</t>
  </si>
  <si>
    <t>Գրապահարան 4մ</t>
  </si>
  <si>
    <t>Աթոռ դեղին</t>
  </si>
  <si>
    <t>Աթոռ հին</t>
  </si>
  <si>
    <t>Աթոռ սև փափուկ</t>
  </si>
  <si>
    <t>Աթոռ դահլիճում</t>
  </si>
  <si>
    <t>Տակդիր տումբա</t>
  </si>
  <si>
    <t>Տումբա</t>
  </si>
  <si>
    <t>Խորհրդակցության սեղան</t>
  </si>
  <si>
    <t>նիստերի սեղան</t>
  </si>
  <si>
    <t>երկաթյա պահարան</t>
  </si>
  <si>
    <t>բազկաթոռ սև երկաթյա</t>
  </si>
  <si>
    <t>աթոռ փոքր փափուկ</t>
  </si>
  <si>
    <t>բազկաթոռ ղեկավարի</t>
  </si>
  <si>
    <t>փափուկ կահույքի կոմպլեկտ</t>
  </si>
  <si>
    <t>լրագրասեղան ապակյա</t>
  </si>
  <si>
    <t>փոքր սեղան</t>
  </si>
  <si>
    <t xml:space="preserve">բազկաթոռ սև </t>
  </si>
  <si>
    <t>բազմոց</t>
  </si>
  <si>
    <t>ուղեգորգ 139,2մետր</t>
  </si>
  <si>
    <t>գորգ</t>
  </si>
  <si>
    <t>բազմոցի կոմպլեկտ</t>
  </si>
  <si>
    <t>աթոռ կիսափափուկ</t>
  </si>
  <si>
    <t>կախիչ հին</t>
  </si>
  <si>
    <t xml:space="preserve">կախիչ </t>
  </si>
  <si>
    <t>ժուռնալի սեղան</t>
  </si>
  <si>
    <t>Ընթացիկ պահպանման և ներքին հարդարման աշխատանքներ</t>
  </si>
  <si>
    <t>ՆԱԽԱՀԱՇՎԱՅԻՆ ԳԻՆԸ/ հազ․դրամ/</t>
  </si>
  <si>
    <t>Սասուն Սահակյան</t>
  </si>
  <si>
    <t>Ալվարդ Նիկողոսյան</t>
  </si>
  <si>
    <t>Գագիկ Խանդանյան</t>
  </si>
  <si>
    <t>Վարդուհի Վարպետյան</t>
  </si>
  <si>
    <t>Լուսինե Սարգսյան</t>
  </si>
  <si>
    <t>Մուշեղ Իսախանյան</t>
  </si>
  <si>
    <t>2026թ. բյուջետային  հայտ</t>
  </si>
  <si>
    <t>2026թ.</t>
  </si>
  <si>
    <t xml:space="preserve">Ըստ պաշտոնային դրույքաչափի հաշվարկվող տարեկան աշխատավարձի ֆոնդ  </t>
  </si>
  <si>
    <t>Ընդամենը պարգևատրման ֆոնդ` 16 % (4112+4113)</t>
  </si>
  <si>
    <t>Ընդամենը տարեկան աշխատավարձի ֆոնդ (4111)</t>
  </si>
  <si>
    <t>*Աշխատավարձի հաշվարկման համար բազային աշխատավարձի չափը կազմում է 83,200.0 դրամ:</t>
  </si>
  <si>
    <t>ՀՀ հանրային իշխանության մարմնի կողմից զբաղեցված շինությունների/տարածքների ընթացիկ նորոգման աշխատանքներ</t>
  </si>
  <si>
    <t xml:space="preserve">Սեփականության կամ անհատույց օգտագործման իրավունքով զբաղեցրած տարածքների մակերեսը </t>
  </si>
  <si>
    <t>1մ2-ին՝ 800 դրամ սկզբունքով</t>
  </si>
  <si>
    <t>ՀՀ ֆինանսների նախարարի 08.01.2016թ. N 3-Ն հրամանի համաձայն մարդատար ավտոմեքենաների նորմատիվային օգտակար ծառայության ժամկետը սահմանված է 10 տարի</t>
  </si>
  <si>
    <t xml:space="preserve">2026թ. </t>
  </si>
  <si>
    <r>
      <t>2027</t>
    </r>
    <r>
      <rPr>
        <sz val="9"/>
        <rFont val="GHEA Grapalat"/>
        <family val="3"/>
      </rPr>
      <t>թ</t>
    </r>
  </si>
  <si>
    <t>Ալբերտ Աղեկյան</t>
  </si>
  <si>
    <t>Նունե Սարգսյան</t>
  </si>
  <si>
    <t>Գլխավոր քարտուղարի օգնական</t>
  </si>
  <si>
    <t xml:space="preserve"> ֆինանսական վարչություն</t>
  </si>
  <si>
    <t>Տարածքային կառավարման և տեղական ինքնակառավարման   հարցերով   վարչության</t>
  </si>
  <si>
    <t>Գյուղատնտեսության  և շրջակա միջավայրի պահպանության  վարչություն</t>
  </si>
  <si>
    <t>Առողջապահության և սոց. ոլորտի հարցերի  վարչություն</t>
  </si>
  <si>
    <t xml:space="preserve"> գլխավոր մասնագետ</t>
  </si>
  <si>
    <t>Քաղաքաշինության , հողաշինության և ենթակառուցվածքների կառավարման վարչություն</t>
  </si>
  <si>
    <t>Զարգացման  ծրագրերի  մշակման  և իրականացման    բաժին</t>
  </si>
  <si>
    <t>Շահեն  Աշոտի Բալաբեկյան</t>
  </si>
  <si>
    <t>հողաշինության  բաժին</t>
  </si>
  <si>
    <t>Անձնակազմի կառավարման, փաստաթղթաշրջանառության և հասարակայնության հետ կապերի վարչություն</t>
  </si>
  <si>
    <t>բաժ. Պետ</t>
  </si>
  <si>
    <t>Փաստաթղթաշրջանառության  բաժին</t>
  </si>
  <si>
    <t>իրավաբան թափուր</t>
  </si>
  <si>
    <t>Զորահավաքային  նախապատրաստության բաժին</t>
  </si>
  <si>
    <t>Ֆինանսական վարչ.խորհրդական՝կառուցվածքային ստորաբաժանում.համակարգող</t>
  </si>
  <si>
    <t>2025թ</t>
  </si>
  <si>
    <t>Առկա է  թափուր հաստիք</t>
  </si>
  <si>
    <t>Առկա է  նվազագույն ստացող</t>
  </si>
  <si>
    <t xml:space="preserve">Գործակից /2026թ. հուլիսի 1-ի դրությամբ/  </t>
  </si>
  <si>
    <t>գլխ. Մասնագետ</t>
  </si>
  <si>
    <t>գլխ,մասնագետ</t>
  </si>
  <si>
    <t>94-31,3-Մ6-1</t>
  </si>
  <si>
    <t>94-30,7-մ3-1</t>
  </si>
  <si>
    <t>Տվյալ պաշտոնում աշխատանքային ստաժը /2026թ. հուլիսի 1-ի դրությամբ/  (տարի/ամիս)</t>
  </si>
  <si>
    <t>2027թ.</t>
  </si>
  <si>
    <t>2023թ.  փաստացի  կատարողական</t>
  </si>
  <si>
    <t xml:space="preserve"> 2024թ. հաստատված բյուջե</t>
  </si>
  <si>
    <t>2027թ. բյուջետային  հայտ</t>
  </si>
  <si>
    <t>ՀՀ Գեղարքունիքի մարզպետի աշխատակազմ</t>
  </si>
  <si>
    <t>2023թ. փաստացի</t>
  </si>
  <si>
    <t>2024թ. հաստատված</t>
  </si>
  <si>
    <t>2025թ. բյուջետային հայտ</t>
  </si>
  <si>
    <t>2025թ. բյուջետային հայտի և  2024թ. հաստատվածի տարբերությունը</t>
  </si>
  <si>
    <t>Տնտեսագիտական դասակարգման հոդվածների գծով 2025թ. ընթացքում նախատեսվող ծախսերը՝ ըստ ապրանքների և ծառայությունների տեսակների</t>
  </si>
  <si>
    <t>Միավորի գինը /դրամ/</t>
  </si>
  <si>
    <t xml:space="preserve">Ընդհանուր գումարը /հազ.դրամ/            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</si>
  <si>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</si>
  <si>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Ձև N 5</t>
  </si>
  <si>
    <t>ՀՀ հանրային իշխանության մարմինների 2025 թվականի կապի ծառայությունների ձեռքբերման ծախսերի</t>
  </si>
  <si>
    <t>Ձևաչափը մշակվել է ՀՀ կառավարության 30.12.2004թ. N 1956-Ն որոշման հիման վրա: 
Որոշման 5.2 կետում նշված մարմինները կարող են օգտվել սույն ձևաչափից՝ ներքին իրավական ակտերով սահմանված նորմերով:</t>
  </si>
  <si>
    <t xml:space="preserve">Ընդամենը աշխատողների թվաքանակը, այդ թվում՝ </t>
  </si>
  <si>
    <t>Տեխնիկական սպասարկում իրականացնողների քանակը</t>
  </si>
  <si>
    <t>Միջքաղաքային, բջջային, միջազգային խոսակցությունների վճար</t>
  </si>
  <si>
    <t>Միջքաղաքային, բջջային, միջազգային խոսակցությունների վճար 
(դրամ)</t>
  </si>
  <si>
    <t>հաստիքների քանակը</t>
  </si>
  <si>
    <t>միջքաղաքային և դեպի բջջային ցանց ելից  խոսակցությունների ամսական սահմանաչափ</t>
  </si>
  <si>
    <t>միջազգային ելից հեռախոսային  խոսակցությունների ամսական սահմանաչափ</t>
  </si>
  <si>
    <t>Ընդամենը տարեկան 
(դրամ)</t>
  </si>
  <si>
    <t>Ընդամենը տարեկան (ներառյալ ԱԱՀ)</t>
  </si>
  <si>
    <t>Ղեկավարի տեղակալ (հանձնաժողովի, խորհրդի
անդամներ)</t>
  </si>
  <si>
    <t>Ղեկավարի մամուլի քարտուղար</t>
  </si>
  <si>
    <t>Գլխավոր քարտուղար
(աշխատակազմի ղեկավար)</t>
  </si>
  <si>
    <t>Գլխավոր քարտուղարի տեղակալ (աշխատակազմի
ղեկավարի տեղակալ)</t>
  </si>
  <si>
    <t>Գրասենյակի (գործակալության) ղեկավար</t>
  </si>
  <si>
    <t>Տարածքային մարմնի
(ստորաբաժանման) ղեկավար</t>
  </si>
  <si>
    <t>Գրասենյակ (գործակալություն)</t>
  </si>
  <si>
    <t>Տարածքային մարմին
(ստորաբաժանում)</t>
  </si>
  <si>
    <t>Ընդամենը հիմնական և աջակցող մասնագիտական ստորաբաժանումների ղեկավարներ (վարչության պետ, բաժնի պետ), այդ թվում՝
(տող 13=տողեր 14+15+16)</t>
  </si>
  <si>
    <t>Հիմնական և աջակցող մասնագիտական ստորաբաժանումների քանակը (վարչություն, բաժին), առանց Միջազգային համագործակցության և Փաստաթղթաշրջանառության ստորաբաժանումների</t>
  </si>
  <si>
    <t>Միջազգային համագործակցություն իրականացնող վարչություն
(բաժին)</t>
  </si>
  <si>
    <t>Փաստաթղթաշրջանառությունն
ապահովող ստորաբաժանում</t>
  </si>
  <si>
    <r>
      <t xml:space="preserve">ԸՆԴԱՄԵՆԸ 
Միջքաղաքային, բջջային, միջազգային խոսակցությունների վճար (ներառյալ </t>
    </r>
    <r>
      <rPr>
        <i/>
        <sz val="10"/>
        <rFont val="GHEA Grapalat"/>
        <family val="3"/>
      </rPr>
      <t>ԱԱՀ)</t>
    </r>
  </si>
  <si>
    <t>Բ</t>
  </si>
  <si>
    <r>
      <t>ընդամենը քանակը</t>
    </r>
    <r>
      <rPr>
        <vertAlign val="superscript"/>
        <sz val="9"/>
        <rFont val="GHEA Grapalat"/>
        <family val="3"/>
      </rPr>
      <t>2</t>
    </r>
  </si>
  <si>
    <t xml:space="preserve">ամսական բաժանորդային վարձի սակագինը, առանց ԱԱՀ (Օպերատոր 1) </t>
  </si>
  <si>
    <t xml:space="preserve">ամսական բաժանորդային վարձի սակագինը, առանց ԱԱՀ (Օպերատոր 2) </t>
  </si>
  <si>
    <t>հեռախոսագծերի քանակը</t>
  </si>
  <si>
    <t>(ս.4 x բաժանորդային վարձ) դրամ</t>
  </si>
  <si>
    <t>(ս.6 x բաժանորդային վարձ) դրամ</t>
  </si>
  <si>
    <t>Բաժանորդային վարձի սակագինը ըստ կապի օպերատորի հետ կնքված պայմանագրի 
(ՀՀ դրամով` առանց ԱԱՀ-ի)</t>
  </si>
  <si>
    <t>Ընդամենը հեռախոսագծերի քանակը 
(ՀՀ կառավարության 30.12.2004թ. N 1956-Ն որոշում, կետ 5.3)</t>
  </si>
  <si>
    <t xml:space="preserve">այդ թվում՝ </t>
  </si>
  <si>
    <r>
      <t>Ա բաժնի 1-ից 9-ը և 12 տողերում թվարկված հաստիքներ զբաղեցնողների համար առանփնացված հեռախոսագծերի քանակը</t>
    </r>
    <r>
      <rPr>
        <vertAlign val="superscript"/>
        <sz val="9"/>
        <rFont val="GHEA Grapalat"/>
        <family val="3"/>
      </rPr>
      <t>1</t>
    </r>
  </si>
  <si>
    <t>Աշխատակիցների յուրաքանչյուր 4 միավորի համար մեկական հեռախոսագիծ (բացառությամբ տեխնիկական սպասարկողների)</t>
  </si>
  <si>
    <t>Տեխնիկական սպասարկում իրականացնող անձնակազմի համար</t>
  </si>
  <si>
    <t>Ընդամենը՝ տարեկան բաժանորդային վարձ (դրամ, ներառյալ ԱԱՀ)</t>
  </si>
  <si>
    <t>Գ</t>
  </si>
  <si>
    <t>Տեղական ելից զանգեր 
(ամսական 1000-ական դրամ` ցանցի ներսում և դեպի այլ օպերատորներ)</t>
  </si>
  <si>
    <t>Դ</t>
  </si>
  <si>
    <t>Կապի այլ պայմանագրային ծառայություններ (դրամ)</t>
  </si>
  <si>
    <t>Փոստային կապ</t>
  </si>
  <si>
    <t>հաշվարկների համար հիմք է ընդունվում ՀՀ կառավարության 30.12.2004թ. N 1956-Ն որոշմամբ հաստատված նորմերը</t>
  </si>
  <si>
    <t>ղեկավարի համար 1-ից ավելի հեռախոսագծերի առկայության դեպքում լրացուցիչ հեռախոսագծերի քանակն ավելացնել D36 սյունակի բանաձևում</t>
  </si>
  <si>
    <t>D34 սյունակի ցուցանիշը պետք է հավասար լինի տարբեր օպերատորների կողմից տրամադրված հեռախոսագծերի քանակների գումարին՝ =E34+G34</t>
  </si>
  <si>
    <t>ՀՀ  պետական  մարմինների 2025 թվականի էլեկտրաէներգիայի ծախսերի /բացառությամբ ջեռուցման/</t>
  </si>
  <si>
    <t>ՀՀ  պետական մարմինների վարչական շենքերի և շինությունների 2025 թվականի ջեռուցման համար անհրաժեշտ էլեկտրաէներգիայի ծախսերի</t>
  </si>
  <si>
    <t>Հայտատուի  անվանումը ՝ՀՀ Գեղարքունիքի մարզպետի աշխատակազմ</t>
  </si>
  <si>
    <t>Հայտատուի  անվանումը ՝ ՀՀ  Գեղարքունիքի մարզպետի աշխատակազմ</t>
  </si>
  <si>
    <t>2025 թվականի ՀՀ  պետական մարմինների վարչական շենքերի և շինությունների գազով ջեռուցման համար անհրաժեշտ  ծախսերի</t>
  </si>
  <si>
    <t xml:space="preserve"> 2024թ. ընթացքում գնման ենթակա </t>
  </si>
  <si>
    <t>ՀՀ Գեղարքունիքի Մարզպետի աշխատակազմ</t>
  </si>
  <si>
    <t>Ֆինանսական վարչություն</t>
  </si>
  <si>
    <t>Անձնակազմի Կառավարման փաստաթղթաշրջանառության և հասարակայնության հետ կապերի վարչություն</t>
  </si>
  <si>
    <t>Քաղաքաշինության, հողաշինության և ենթակառուցվածքների կառավարման  վարչություն</t>
  </si>
  <si>
    <t>Գյուղատնտեսության և շրջակա միջավայրի պահպանության վարչություն</t>
  </si>
  <si>
    <t>Տարածքային կառավարման և Տեղական իքնակառավարման  հարցերի վարչություն</t>
  </si>
  <si>
    <t>Առողջապահության և Սոցիալական ոլորտի հարցերի  վարչություն</t>
  </si>
  <si>
    <t xml:space="preserve"> Քաղաքացիական աշխատանք կատարող անձնակազմ և տեխնիկական սպասարկում իրականացնող անձնակազմ</t>
  </si>
  <si>
    <t>94-30.1-Ղ4-1</t>
  </si>
  <si>
    <t>94-30.1-Մ2-2</t>
  </si>
  <si>
    <t>94-30.1-Մ2-1</t>
  </si>
  <si>
    <t>94-30.1-Ղ5-1</t>
  </si>
  <si>
    <t>94-30.1-Մ2-5</t>
  </si>
  <si>
    <t>94-30.1-Մ2-7</t>
  </si>
  <si>
    <t>94-30.3-Ղ4-1</t>
  </si>
  <si>
    <t>94-30,3-Մ2-2</t>
  </si>
  <si>
    <t>94-30.3-Մ2-3</t>
  </si>
  <si>
    <t>94-30.3-Մ2-4</t>
  </si>
  <si>
    <t>94-30.3-Մ2-6</t>
  </si>
  <si>
    <t>94-30.3-Մ2-7</t>
  </si>
  <si>
    <t>94-30.4-Ղ4-1</t>
  </si>
  <si>
    <t>94-30.4-Մ2-1</t>
  </si>
  <si>
    <t>94-30.4-Մ2-2</t>
  </si>
  <si>
    <t>94-30.4-Մ2-4</t>
  </si>
  <si>
    <t>94-30,4-Մ2-5</t>
  </si>
  <si>
    <t>94-30,4-Մ2-6</t>
  </si>
  <si>
    <t>94-30,4-Մ6-1</t>
  </si>
  <si>
    <t>94-30,4-Մ2-7</t>
  </si>
  <si>
    <t>94-30,4-Մ2-8</t>
  </si>
  <si>
    <t>94-30,6-Ղ4-1</t>
  </si>
  <si>
    <t>94-30.6-Մ2-5</t>
  </si>
  <si>
    <t>94-30.6-Մ4-1</t>
  </si>
  <si>
    <t>94-30.6-Մ2-2</t>
  </si>
  <si>
    <t>94-30.6-Մ2-7</t>
  </si>
  <si>
    <t>94-30.6-Մ2-8</t>
  </si>
  <si>
    <t>94-30.2-Ղ4-1</t>
  </si>
  <si>
    <t>94-30.2-Մ2-2</t>
  </si>
  <si>
    <t>94-30.2-Մ2-3</t>
  </si>
  <si>
    <t>94-30.2-Մ6-1</t>
  </si>
  <si>
    <t>94-30.2-Մ2-4</t>
  </si>
  <si>
    <t>94-30,2-Մ2-5</t>
  </si>
  <si>
    <t>94-30,2-Մ5-2</t>
  </si>
  <si>
    <t>94-30.2-Մ3-3</t>
  </si>
  <si>
    <t>94-30.2-Մ7-1</t>
  </si>
  <si>
    <t>94-30.2-Մ4-1</t>
  </si>
  <si>
    <t>94-30.1-Մ8-1</t>
  </si>
  <si>
    <t>94-30.1-Մ4-2</t>
  </si>
  <si>
    <t>94-30.1-Մ2-9</t>
  </si>
  <si>
    <t>94-30.1-Մ2-8</t>
  </si>
  <si>
    <t>94-30.1-Մ2-10</t>
  </si>
  <si>
    <t>94-30.1-Մ5-1</t>
  </si>
  <si>
    <t>94-30.5-Ղ4-1</t>
  </si>
  <si>
    <t>94-30.5-Մ3-2</t>
  </si>
  <si>
    <t>94-30.5-Մ3-1</t>
  </si>
  <si>
    <t>94-31.2-Ղ4-1</t>
  </si>
  <si>
    <t>94-31.2-Մ2-1</t>
  </si>
  <si>
    <t>94-31.2-Մ2-2</t>
  </si>
  <si>
    <t>94-31,2-Մ7-2</t>
  </si>
  <si>
    <t>94-31,6-Մ7-1</t>
  </si>
  <si>
    <t>94-31.2-Ղ5-1</t>
  </si>
  <si>
    <t>94-31.2-Մ2-3</t>
  </si>
  <si>
    <t>94-31.2-Մ6-1</t>
  </si>
  <si>
    <t>94-31.2-Ղ5-2</t>
  </si>
  <si>
    <t>94-31.2-Մ4-3</t>
  </si>
  <si>
    <t>94-31.2-Մ6-2</t>
  </si>
  <si>
    <t>94-31.3-Մ6-1</t>
  </si>
  <si>
    <t>94-31.3-Մ3-1</t>
  </si>
  <si>
    <t>94-30.78-Ղ4-1</t>
  </si>
  <si>
    <t>94-30.7-Մ3-1</t>
  </si>
  <si>
    <t>հայտի տարբերությունը 2024թ. հաստատվածի նկատմամբ</t>
  </si>
  <si>
    <t>հայտի տարբերությունը 2023թ. փաստացի կատարողականի նկատմամբ</t>
  </si>
  <si>
    <t>Պաշտոն զբաղեցնող անձի սեռը  (արական/ իգական)</t>
  </si>
  <si>
    <t>Պաշտոն զբաղեցնող անձի տարիքը (ծննդյան տարեթիվ)</t>
  </si>
  <si>
    <t>94-31.1-Ղ4-1</t>
  </si>
  <si>
    <t>94-31.1-Մ2-4</t>
  </si>
  <si>
    <t>94-31.1-Մ2-2</t>
  </si>
  <si>
    <t>94-31.1-Մ2-1</t>
  </si>
  <si>
    <t>94-31.1-Մ2-3</t>
  </si>
  <si>
    <t>94-31.1-Ղ5-1</t>
  </si>
  <si>
    <t>94-31.1-Մ2-5</t>
  </si>
  <si>
    <t>94-31.1-Մ2-7</t>
  </si>
  <si>
    <t>94-31.1-Մ2-6</t>
  </si>
  <si>
    <t xml:space="preserve">ՀՀ հանրային իշխանության մարմինների ավտոմեքենաների վերաբերյալ   </t>
  </si>
  <si>
    <t>Ընդամենը ավտոմեքենաների սահմանաքանակը*</t>
  </si>
  <si>
    <t xml:space="preserve">Ընդամենը առկա ավտոմեքենաների քանակը` </t>
  </si>
  <si>
    <t>Առկա ավտոմեքենաներ</t>
  </si>
  <si>
    <r>
      <t>Առաջարկություն՝ ավտոմեքենայի հետագա շահագործման նպատակահարմարության վերաբերյալ</t>
    </r>
    <r>
      <rPr>
        <sz val="9"/>
        <rFont val="GHEA Grapalat"/>
        <family val="3"/>
      </rPr>
      <t xml:space="preserve">
(ընտրել ցանկից)</t>
    </r>
  </si>
  <si>
    <t xml:space="preserve">ՀԱՅՏ
2025թ. տրանսպորտային միջոցների պահպանման ծախսերը, 
այդ թվում՝ </t>
  </si>
  <si>
    <t xml:space="preserve"> 2024թ. ընթացքում ձեռք բերվող/հատկացվող ավտոմեքենաները</t>
  </si>
  <si>
    <t xml:space="preserve"> ՀԱՅՏ
2025թ. ընթացքում ձեռք բերվող/հատկացվող ավտոմեքենաների պահանջը</t>
  </si>
  <si>
    <t>Ծանոթություն
(ներկայացնել հիմնավորումներ նոր ավտոմեքենայի պահանջի վերաբերյալ)</t>
  </si>
  <si>
    <t>ղեկավարի պաշտոնը կամ ստորաբաժանման անվանումը, որին սպասարկում է տվյալ ավտոմեքենան</t>
  </si>
  <si>
    <t>մակնիշը</t>
  </si>
  <si>
    <t>թափքի տեսակը</t>
  </si>
  <si>
    <t xml:space="preserve">շարժիչի վառելանյութի տեսակը </t>
  </si>
  <si>
    <t>շարժիչի ծավալը 
(լիտր)</t>
  </si>
  <si>
    <t>հատուկ միջոցներով կահավորանքի առկայություն</t>
  </si>
  <si>
    <t>արտադրության տարեթիվը
(ընտրել ցանկից)</t>
  </si>
  <si>
    <t xml:space="preserve">օգտակար ծառայության մնացորդային ժամկետը (տարի) </t>
  </si>
  <si>
    <t>Ընդամենը տրանսպորտային նյութեր
4264 հոդված 
(հազար դրամ)</t>
  </si>
  <si>
    <t>Ընթացիկ նորոգման ծառայությունների ձեռքբերում 
4252 հոդված 
(հազար դրամ)</t>
  </si>
  <si>
    <t>Ընդամենը տեխզննության և բնապահպանական վճարներ 
4823 հոդված
(հազար դրամ)</t>
  </si>
  <si>
    <t>Ընդամենը պահպանման ծախսեր 
(հազար դրամ)</t>
  </si>
  <si>
    <t>գնման գինը   
(հազ դրամ)</t>
  </si>
  <si>
    <r>
      <rPr>
        <b/>
        <i/>
        <vertAlign val="superscript"/>
        <sz val="10"/>
        <rFont val="GHEA Grapalat"/>
        <family val="3"/>
      </rPr>
      <t>1</t>
    </r>
    <r>
      <rPr>
        <b/>
        <i/>
        <sz val="10"/>
        <rFont val="GHEA Grapalat"/>
        <family val="3"/>
      </rPr>
      <t>Ղեկավարին սպասարկող ծառայողական ավտոմեքենաները</t>
    </r>
  </si>
  <si>
    <r>
      <rPr>
        <b/>
        <i/>
        <vertAlign val="superscript"/>
        <sz val="10"/>
        <rFont val="GHEA Grapalat"/>
        <family val="3"/>
      </rPr>
      <t>2</t>
    </r>
    <r>
      <rPr>
        <b/>
        <i/>
        <sz val="10"/>
        <rFont val="GHEA Grapalat"/>
        <family val="3"/>
      </rPr>
      <t>Մարմնին սպասարկող ավտոմեքենաներ, այդ թվում՝ ըստ ստորաբաժանումների</t>
    </r>
  </si>
  <si>
    <r>
      <rPr>
        <b/>
        <i/>
        <vertAlign val="superscript"/>
        <sz val="10"/>
        <rFont val="GHEA Grapalat"/>
        <family val="3"/>
      </rPr>
      <t>3</t>
    </r>
    <r>
      <rPr>
        <b/>
        <i/>
        <sz val="10"/>
        <rFont val="GHEA Grapalat"/>
        <family val="3"/>
      </rPr>
      <t>Գործառնական և հատուկ նշանակության ավտոմեքենաներ, այդ թվում՝ ըստ ստորաբաժանումների</t>
    </r>
  </si>
  <si>
    <t>Այլ տրանսպորտային միջոցներ</t>
  </si>
  <si>
    <t xml:space="preserve">Լրացնել ընդամենը ավտոմեքենաների սահմանաքանակը, որը հաշվարկվում է ՀՀ  կառավարության 28.09.2023թ. N 1666-Ն որոշմամբ հաստատված կարգավորումներով, ներառյալ՝ </t>
  </si>
  <si>
    <t>1. ծառայողական/սպասարկող</t>
  </si>
  <si>
    <t>ա) ղեկավարին սպասարկող</t>
  </si>
  <si>
    <t xml:space="preserve">բ) որոշմամբ նախատեսված դեպքերում՝ ղեկավարի տեղակալների թվի հաշվարկով </t>
  </si>
  <si>
    <t xml:space="preserve">գ) աշխատակիցներին սպասարկող (յուրաքանչյուր 100 աշխատողին՝ մեկ ավտոմեքենա հաշվարկով) </t>
  </si>
  <si>
    <t>2. գործառնական և հատուկ նշանակության ավտոմեքենաներ, որոնց սահմանաքանակը հաստատվում է ՀՀ կառավարության որոշմամբ: Ընդ որում, այս խմբում ներառվում են նաև օրենքով սահմանված դեպքերում օպերատիվ-հետախուզական գործունեության իրականացման նպատակով շահագործվող մեքենաները:</t>
  </si>
  <si>
    <t>N 1666-Ն որոշմամբ սահմանված Կարգի համաձայն՝ ղեկավարին սպասարկող և մարմնին սպասարկող տարբերանշանով ավտոմեքենաների քանակը որոշվում է Կարգի 17-րդ կետին համապատասխան, իսկ գործառնական և հատուկ նշանակության ավտոմեքենաների սահամանաքանկը հաստատվում է ՀՀ կառավարության որոշմամբ:</t>
  </si>
  <si>
    <t>Ավտոմեքենայի թափքի տեսակը</t>
  </si>
  <si>
    <t xml:space="preserve">շարժիչի վառելանյութի տեսակը
(ընտրել ցանկից) </t>
  </si>
  <si>
    <t>Շարժիչի ծավալը</t>
  </si>
  <si>
    <t>հատուկ միջոցներով կահավորանքի պահանջ</t>
  </si>
  <si>
    <t xml:space="preserve">սեդան </t>
  </si>
  <si>
    <t>բենզին</t>
  </si>
  <si>
    <t>մինչև 1,8</t>
  </si>
  <si>
    <t>առկա չէ</t>
  </si>
  <si>
    <t>ունիվերսալ</t>
  </si>
  <si>
    <t>գազ</t>
  </si>
  <si>
    <t>1,9-ից մինչև 2,2</t>
  </si>
  <si>
    <t>առկա է</t>
  </si>
  <si>
    <t>ամենագնաց</t>
  </si>
  <si>
    <t>դիզել</t>
  </si>
  <si>
    <t>2,3-ից մինչև 3,5</t>
  </si>
  <si>
    <t>միկրոավտոբուս</t>
  </si>
  <si>
    <t>էլեկտրական</t>
  </si>
  <si>
    <t>3,6-ից մինչև 6,0</t>
  </si>
  <si>
    <t>ավտոբուս</t>
  </si>
  <si>
    <t>հիբրիդ</t>
  </si>
  <si>
    <t>6,1-ից ավելի</t>
  </si>
  <si>
    <t>Առաջարկություն՝ ավտոմեքենայի հետագա շահագործման, նոր ավտոմեքենա հատկացնելու և փոխհատուցում տրամադրելու վերաբերյալ</t>
  </si>
  <si>
    <t>ենթակա է հետագա շահագործման</t>
  </si>
  <si>
    <t>հատկացնել նոր ավտոմեքենա՝ Կարգի 8-րդ կետի հիմքով</t>
  </si>
  <si>
    <t xml:space="preserve">տրամադրել ծախսերի փոխհատուցում և մեքենան հանձնել Կոմիտեին </t>
  </si>
  <si>
    <t>մեքենան հանձնել Կոմիտեին</t>
  </si>
  <si>
    <t>Ընդամենը (4221 հոդված)</t>
  </si>
  <si>
    <t>Արտասահմանյան գործուղումների գծով ծախսեր (ըստ երկրների)</t>
  </si>
  <si>
    <t>Ընդամենը (4222 հոդված)</t>
  </si>
  <si>
    <t xml:space="preserve">Ծառայողական գործուղումների գծով ծախսերի հաշվարկման վերաբերյալ </t>
  </si>
  <si>
    <t xml:space="preserve">Ծախսերի տարբերու թյունը (2025թ.-2024թ.)            </t>
  </si>
  <si>
    <t>Գեղարքունիքի մարզպետի աշխատակազմ</t>
  </si>
  <si>
    <t>մարզպետ</t>
  </si>
  <si>
    <t>ՌԴ</t>
  </si>
  <si>
    <t>1USD-407,06</t>
  </si>
  <si>
    <t>արական</t>
  </si>
  <si>
    <t>Իգական</t>
  </si>
  <si>
    <t>իգական</t>
  </si>
  <si>
    <t>Տոյոտա ԼՑ -150 2,7</t>
  </si>
  <si>
    <t>մարզպետին և աշխատակազմին սպասարկող</t>
  </si>
  <si>
    <t>Տոյոտա Քեմրի 2,5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</si>
</sst>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%"/>
    <numFmt numFmtId="203" formatCode="#,##0.0_);[Red]\(#,##0.0\)"/>
    <numFmt numFmtId="204" formatCode="#,##0.0_р_."/>
    <numFmt numFmtId="205" formatCode="_-* #,##0.0\ _₽_-;\-* #,##0.0\ _₽_-;_-* &quot;-&quot;?\ _₽_-;_-@_-"/>
    <numFmt numFmtId="206" formatCode="_(* #,##0.0_);_(* \(#,##0.0\);_(* &quot;-&quot;?_);_(@_)"/>
    <numFmt numFmtId="207" formatCode="0_);[Red]\(0\)"/>
  </numFmts>
  <fonts count="1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sz val="9"/>
      <color indexed="8"/>
      <name val="Arial Unicode"/>
      <family val="2"/>
    </font>
    <font>
      <b/>
      <u val="single"/>
      <sz val="10"/>
      <name val="GHEA Grapalat"/>
      <family val="3"/>
    </font>
    <font>
      <u val="single"/>
      <sz val="9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sz val="10"/>
      <color indexed="8"/>
      <name val="Arial"/>
      <family val="2"/>
    </font>
    <font>
      <b/>
      <i/>
      <sz val="7"/>
      <name val="GHEA Grapalat"/>
      <family val="3"/>
    </font>
    <font>
      <b/>
      <sz val="9"/>
      <color indexed="8"/>
      <name val="GHEA Grapalat"/>
      <family val="3"/>
    </font>
    <font>
      <sz val="16"/>
      <name val="GHEA Grapalat"/>
      <family val="3"/>
    </font>
    <font>
      <sz val="14"/>
      <name val="GHEA Grapalat"/>
      <family val="3"/>
    </font>
    <font>
      <b/>
      <i/>
      <sz val="12"/>
      <name val="GHEA Grapalat"/>
      <family val="3"/>
    </font>
    <font>
      <sz val="11"/>
      <color indexed="8"/>
      <name val="GHEA Grapalat"/>
      <family val="3"/>
    </font>
    <font>
      <vertAlign val="superscript"/>
      <sz val="9"/>
      <name val="GHEA Grapalat"/>
      <family val="3"/>
    </font>
    <font>
      <b/>
      <sz val="9"/>
      <name val="Tahoma"/>
      <family val="2"/>
    </font>
    <font>
      <b/>
      <i/>
      <vertAlign val="superscript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Armeni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GHEA Grapalat"/>
      <family val="3"/>
    </font>
    <font>
      <sz val="10"/>
      <color indexed="10"/>
      <name val="GHEA Grapalat"/>
      <family val="3"/>
    </font>
    <font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9"/>
      <name val="GHEA Grapalat"/>
      <family val="3"/>
    </font>
    <font>
      <b/>
      <sz val="8"/>
      <color indexed="9"/>
      <name val="GHEA Grapalat"/>
      <family val="3"/>
    </font>
    <font>
      <sz val="8"/>
      <color indexed="10"/>
      <name val="GHEA Grapalat"/>
      <family val="3"/>
    </font>
    <font>
      <sz val="11"/>
      <color indexed="8"/>
      <name val="GHEA Mariam"/>
      <family val="3"/>
    </font>
    <font>
      <b/>
      <sz val="9"/>
      <color indexed="10"/>
      <name val="GHEA Grapalat"/>
      <family val="3"/>
    </font>
    <font>
      <sz val="11"/>
      <color indexed="10"/>
      <name val="GHEA Grapalat"/>
      <family val="3"/>
    </font>
    <font>
      <b/>
      <vertAlign val="superscript"/>
      <sz val="12"/>
      <color indexed="10"/>
      <name val="GHEA Grapalat"/>
      <family val="3"/>
    </font>
    <font>
      <sz val="10"/>
      <color indexed="10"/>
      <name val="Arial"/>
      <family val="2"/>
    </font>
    <font>
      <b/>
      <vertAlign val="superscript"/>
      <sz val="11"/>
      <color indexed="10"/>
      <name val="Arial"/>
      <family val="2"/>
    </font>
    <font>
      <i/>
      <sz val="10"/>
      <color indexed="8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 Armeni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0"/>
      <color rgb="FFFF0000"/>
      <name val="GHEA Grapalat"/>
      <family val="3"/>
    </font>
    <font>
      <sz val="10"/>
      <color theme="0"/>
      <name val="GHEA Grapalat"/>
      <family val="3"/>
    </font>
    <font>
      <b/>
      <sz val="8"/>
      <color theme="0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rgb="FFFF0000"/>
      <name val="GHEA Grapalat"/>
      <family val="3"/>
    </font>
    <font>
      <sz val="11"/>
      <color rgb="FF000000"/>
      <name val="GHEA Mariam"/>
      <family val="3"/>
    </font>
    <font>
      <b/>
      <sz val="9"/>
      <color rgb="FFFF0000"/>
      <name val="GHEA Grapalat"/>
      <family val="3"/>
    </font>
    <font>
      <sz val="11"/>
      <color rgb="FFFF0000"/>
      <name val="GHEA Grapalat"/>
      <family val="3"/>
    </font>
    <font>
      <b/>
      <vertAlign val="superscript"/>
      <sz val="12"/>
      <color rgb="FFFF0000"/>
      <name val="GHEA Grapalat"/>
      <family val="3"/>
    </font>
    <font>
      <sz val="10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i/>
      <sz val="10"/>
      <color theme="1"/>
      <name val="GHEA Grapalat"/>
      <family val="3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185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41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43" fillId="0" borderId="0">
      <alignment/>
      <protection/>
    </xf>
    <xf numFmtId="0" fontId="4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795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186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6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7" fillId="34" borderId="11" xfId="0" applyFont="1" applyFill="1" applyBorder="1" applyAlignment="1">
      <alignment wrapText="1"/>
    </xf>
    <xf numFmtId="186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15" fillId="0" borderId="12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86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wrapText="1"/>
    </xf>
    <xf numFmtId="186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5" xfId="0" applyFont="1" applyBorder="1" applyAlignment="1">
      <alignment horizontal="center"/>
    </xf>
    <xf numFmtId="0" fontId="15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1" xfId="0" applyFont="1" applyBorder="1" applyAlignment="1">
      <alignment/>
    </xf>
    <xf numFmtId="186" fontId="11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186" fontId="14" fillId="0" borderId="11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1" xfId="0" applyFont="1" applyBorder="1" applyAlignment="1">
      <alignment horizontal="center"/>
    </xf>
    <xf numFmtId="186" fontId="22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Continuous" wrapText="1"/>
    </xf>
    <xf numFmtId="0" fontId="22" fillId="33" borderId="0" xfId="0" applyFont="1" applyFill="1" applyBorder="1" applyAlignment="1">
      <alignment horizontal="center" vertical="distributed" wrapText="1" readingOrder="1"/>
    </xf>
    <xf numFmtId="186" fontId="22" fillId="33" borderId="0" xfId="0" applyNumberFormat="1" applyFont="1" applyFill="1" applyBorder="1" applyAlignment="1">
      <alignment horizontal="center" vertical="distributed" wrapText="1" readingOrder="1"/>
    </xf>
    <xf numFmtId="186" fontId="16" fillId="33" borderId="0" xfId="0" applyNumberFormat="1" applyFont="1" applyFill="1" applyBorder="1" applyAlignment="1">
      <alignment horizontal="centerContinuous" wrapText="1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0" fontId="14" fillId="35" borderId="16" xfId="0" applyFont="1" applyFill="1" applyBorder="1" applyAlignment="1">
      <alignment wrapText="1"/>
    </xf>
    <xf numFmtId="0" fontId="14" fillId="35" borderId="16" xfId="0" applyFont="1" applyFill="1" applyBorder="1" applyAlignment="1">
      <alignment horizontal="center" vertical="center"/>
    </xf>
    <xf numFmtId="186" fontId="14" fillId="35" borderId="16" xfId="0" applyNumberFormat="1" applyFont="1" applyFill="1" applyBorder="1" applyAlignment="1">
      <alignment horizontal="center" vertical="center"/>
    </xf>
    <xf numFmtId="186" fontId="14" fillId="35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28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2" xfId="0" applyFont="1" applyFill="1" applyBorder="1" applyAlignment="1">
      <alignment wrapText="1"/>
    </xf>
    <xf numFmtId="0" fontId="11" fillId="33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4" fillId="0" borderId="25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0" fontId="14" fillId="33" borderId="17" xfId="0" applyFont="1" applyFill="1" applyBorder="1" applyAlignment="1">
      <alignment wrapText="1"/>
    </xf>
    <xf numFmtId="0" fontId="22" fillId="33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27" fillId="0" borderId="23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9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0" fillId="3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1" fillId="33" borderId="10" xfId="0" applyFont="1" applyFill="1" applyBorder="1" applyAlignment="1">
      <alignment horizontal="left" wrapText="1"/>
    </xf>
    <xf numFmtId="0" fontId="31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/>
    </xf>
    <xf numFmtId="0" fontId="33" fillId="33" borderId="11" xfId="0" applyFont="1" applyFill="1" applyBorder="1" applyAlignment="1">
      <alignment/>
    </xf>
    <xf numFmtId="186" fontId="14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33" borderId="0" xfId="0" applyFont="1" applyFill="1" applyBorder="1" applyAlignment="1">
      <alignment horizontal="centerContinuous"/>
    </xf>
    <xf numFmtId="0" fontId="15" fillId="33" borderId="0" xfId="0" applyFont="1" applyFill="1" applyAlignment="1">
      <alignment horizontal="center" wrapText="1"/>
    </xf>
    <xf numFmtId="186" fontId="14" fillId="36" borderId="11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14" fillId="33" borderId="12" xfId="0" applyFont="1" applyFill="1" applyBorder="1" applyAlignment="1">
      <alignment horizontal="centerContinuous"/>
    </xf>
    <xf numFmtId="0" fontId="14" fillId="33" borderId="25" xfId="0" applyFont="1" applyFill="1" applyBorder="1" applyAlignment="1">
      <alignment horizontal="centerContinuous"/>
    </xf>
    <xf numFmtId="186" fontId="11" fillId="33" borderId="11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35" fillId="33" borderId="0" xfId="0" applyFont="1" applyFill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6" fontId="14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6" fontId="14" fillId="33" borderId="11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/>
    </xf>
    <xf numFmtId="186" fontId="14" fillId="0" borderId="11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Continuous" wrapText="1"/>
    </xf>
    <xf numFmtId="0" fontId="38" fillId="36" borderId="0" xfId="0" applyFont="1" applyFill="1" applyBorder="1" applyAlignment="1">
      <alignment horizontal="centerContinuous" wrapText="1"/>
    </xf>
    <xf numFmtId="0" fontId="30" fillId="36" borderId="0" xfId="0" applyFont="1" applyFill="1" applyAlignment="1">
      <alignment/>
    </xf>
    <xf numFmtId="0" fontId="30" fillId="0" borderId="0" xfId="0" applyFont="1" applyAlignment="1">
      <alignment/>
    </xf>
    <xf numFmtId="0" fontId="14" fillId="33" borderId="29" xfId="0" applyFont="1" applyFill="1" applyBorder="1" applyAlignment="1">
      <alignment horizontal="centerContinuous"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top" wrapText="1"/>
    </xf>
    <xf numFmtId="0" fontId="14" fillId="33" borderId="25" xfId="0" applyFont="1" applyFill="1" applyBorder="1" applyAlignment="1">
      <alignment wrapText="1"/>
    </xf>
    <xf numFmtId="0" fontId="14" fillId="33" borderId="13" xfId="0" applyFont="1" applyFill="1" applyBorder="1" applyAlignment="1">
      <alignment wrapText="1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Continuous" wrapText="1"/>
    </xf>
    <xf numFmtId="0" fontId="14" fillId="33" borderId="25" xfId="0" applyFont="1" applyFill="1" applyBorder="1" applyAlignment="1">
      <alignment horizontal="centerContinuous" wrapText="1"/>
    </xf>
    <xf numFmtId="0" fontId="14" fillId="33" borderId="13" xfId="0" applyFont="1" applyFill="1" applyBorder="1" applyAlignment="1">
      <alignment horizontal="centerContinuous" wrapText="1"/>
    </xf>
    <xf numFmtId="0" fontId="40" fillId="33" borderId="0" xfId="0" applyFont="1" applyFill="1" applyAlignment="1">
      <alignment/>
    </xf>
    <xf numFmtId="0" fontId="11" fillId="33" borderId="30" xfId="0" applyFont="1" applyFill="1" applyBorder="1" applyAlignment="1">
      <alignment wrapText="1"/>
    </xf>
    <xf numFmtId="0" fontId="11" fillId="33" borderId="30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37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0" xfId="0" applyFont="1" applyFill="1" applyAlignment="1">
      <alignment horizontal="centerContinuous" vertical="center"/>
    </xf>
    <xf numFmtId="1" fontId="107" fillId="0" borderId="11" xfId="0" applyNumberFormat="1" applyFont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0" fontId="108" fillId="0" borderId="11" xfId="0" applyFont="1" applyBorder="1" applyAlignment="1">
      <alignment horizontal="center"/>
    </xf>
    <xf numFmtId="186" fontId="108" fillId="0" borderId="11" xfId="0" applyNumberFormat="1" applyFont="1" applyBorder="1" applyAlignment="1">
      <alignment horizontal="center"/>
    </xf>
    <xf numFmtId="2" fontId="109" fillId="0" borderId="11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44" fillId="0" borderId="11" xfId="110" applyFont="1" applyBorder="1" applyAlignment="1">
      <alignment horizontal="center" wrapText="1"/>
      <protection/>
    </xf>
    <xf numFmtId="0" fontId="11" fillId="33" borderId="32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/>
    </xf>
    <xf numFmtId="0" fontId="29" fillId="10" borderId="11" xfId="0" applyFont="1" applyFill="1" applyBorder="1" applyAlignment="1">
      <alignment horizontal="center" wrapText="1"/>
    </xf>
    <xf numFmtId="186" fontId="29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31" xfId="0" applyFont="1" applyFill="1" applyBorder="1" applyAlignment="1">
      <alignment wrapText="1"/>
    </xf>
    <xf numFmtId="0" fontId="11" fillId="0" borderId="28" xfId="0" applyFont="1" applyBorder="1" applyAlignment="1">
      <alignment horizontal="center" wrapText="1"/>
    </xf>
    <xf numFmtId="0" fontId="26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2" fillId="10" borderId="11" xfId="0" applyFont="1" applyFill="1" applyBorder="1" applyAlignment="1">
      <alignment horizontal="left" wrapText="1"/>
    </xf>
    <xf numFmtId="0" fontId="23" fillId="10" borderId="11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left" vertical="top" wrapText="1"/>
    </xf>
    <xf numFmtId="0" fontId="111" fillId="0" borderId="11" xfId="0" applyFont="1" applyFill="1" applyBorder="1" applyAlignment="1">
      <alignment horizontal="center" vertical="top" wrapText="1"/>
    </xf>
    <xf numFmtId="186" fontId="23" fillId="0" borderId="11" xfId="71" applyNumberFormat="1" applyFont="1" applyFill="1" applyBorder="1" applyAlignment="1">
      <alignment horizontal="center" wrapText="1"/>
      <protection/>
    </xf>
    <xf numFmtId="186" fontId="112" fillId="0" borderId="11" xfId="71" applyNumberFormat="1" applyFont="1" applyFill="1" applyBorder="1" applyAlignment="1">
      <alignment horizontal="center" wrapText="1"/>
      <protection/>
    </xf>
    <xf numFmtId="186" fontId="11" fillId="33" borderId="32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3" fillId="0" borderId="11" xfId="0" applyFont="1" applyFill="1" applyBorder="1" applyAlignment="1">
      <alignment horizontal="left" vertical="center" wrapText="1"/>
    </xf>
    <xf numFmtId="0" fontId="114" fillId="0" borderId="11" xfId="0" applyFont="1" applyFill="1" applyBorder="1" applyAlignment="1">
      <alignment horizontal="left" vertical="center"/>
    </xf>
    <xf numFmtId="0" fontId="110" fillId="0" borderId="11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horizontal="left" vertical="center" wrapText="1"/>
    </xf>
    <xf numFmtId="0" fontId="15" fillId="6" borderId="14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 wrapText="1"/>
    </xf>
    <xf numFmtId="0" fontId="1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34" borderId="13" xfId="110" applyFont="1" applyFill="1" applyBorder="1" applyAlignment="1">
      <alignment horizontal="center" vertical="center" wrapText="1"/>
      <protection/>
    </xf>
    <xf numFmtId="0" fontId="15" fillId="0" borderId="13" xfId="110" applyFont="1" applyFill="1" applyBorder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49" fontId="36" fillId="4" borderId="34" xfId="0" applyNumberFormat="1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0" fontId="112" fillId="0" borderId="0" xfId="0" applyFont="1" applyFill="1" applyAlignment="1">
      <alignment horizontal="left" vertical="center" wrapText="1"/>
    </xf>
    <xf numFmtId="0" fontId="11" fillId="37" borderId="11" xfId="0" applyFont="1" applyFill="1" applyBorder="1" applyAlignment="1">
      <alignment horizontal="center"/>
    </xf>
    <xf numFmtId="0" fontId="109" fillId="33" borderId="11" xfId="0" applyFont="1" applyFill="1" applyBorder="1" applyAlignment="1">
      <alignment/>
    </xf>
    <xf numFmtId="0" fontId="110" fillId="0" borderId="13" xfId="0" applyFont="1" applyFill="1" applyBorder="1" applyAlignment="1">
      <alignment horizontal="center" vertical="center" wrapText="1"/>
    </xf>
    <xf numFmtId="0" fontId="115" fillId="0" borderId="17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37" borderId="0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86" fontId="23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6" fontId="14" fillId="37" borderId="11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13" fillId="0" borderId="25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3" fillId="0" borderId="11" xfId="0" applyFont="1" applyBorder="1" applyAlignment="1">
      <alignment/>
    </xf>
    <xf numFmtId="0" fontId="34" fillId="0" borderId="0" xfId="0" applyFont="1" applyAlignment="1">
      <alignment horizontal="centerContinuous" vertical="top" wrapText="1"/>
    </xf>
    <xf numFmtId="0" fontId="34" fillId="0" borderId="0" xfId="0" applyFont="1" applyAlignment="1">
      <alignment horizontal="centerContinuous" wrapText="1"/>
    </xf>
    <xf numFmtId="0" fontId="10" fillId="37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wrapText="1"/>
    </xf>
    <xf numFmtId="186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186" fontId="14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186" fontId="14" fillId="4" borderId="11" xfId="0" applyNumberFormat="1" applyFont="1" applyFill="1" applyBorder="1" applyAlignment="1">
      <alignment horizontal="center"/>
    </xf>
    <xf numFmtId="0" fontId="116" fillId="39" borderId="36" xfId="0" applyFont="1" applyFill="1" applyBorder="1" applyAlignment="1">
      <alignment vertical="center"/>
    </xf>
    <xf numFmtId="0" fontId="117" fillId="39" borderId="36" xfId="0" applyFont="1" applyFill="1" applyBorder="1" applyAlignment="1">
      <alignment horizontal="center" vertical="center" wrapText="1"/>
    </xf>
    <xf numFmtId="0" fontId="116" fillId="39" borderId="36" xfId="0" applyFont="1" applyFill="1" applyBorder="1" applyAlignment="1">
      <alignment vertical="center" wrapText="1"/>
    </xf>
    <xf numFmtId="0" fontId="116" fillId="39" borderId="37" xfId="0" applyFont="1" applyFill="1" applyBorder="1" applyAlignment="1">
      <alignment vertical="center"/>
    </xf>
    <xf numFmtId="0" fontId="117" fillId="39" borderId="38" xfId="0" applyFont="1" applyFill="1" applyBorder="1" applyAlignment="1">
      <alignment vertical="center" wrapText="1"/>
    </xf>
    <xf numFmtId="0" fontId="117" fillId="39" borderId="11" xfId="0" applyFont="1" applyFill="1" applyBorder="1" applyAlignment="1">
      <alignment horizontal="center" vertical="center" wrapText="1"/>
    </xf>
    <xf numFmtId="0" fontId="24" fillId="13" borderId="36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117" fillId="18" borderId="36" xfId="0" applyFont="1" applyFill="1" applyBorder="1" applyAlignment="1">
      <alignment horizontal="center" vertical="center"/>
    </xf>
    <xf numFmtId="0" fontId="117" fillId="18" borderId="36" xfId="0" applyFont="1" applyFill="1" applyBorder="1" applyAlignment="1">
      <alignment horizontal="center" vertical="center" wrapText="1"/>
    </xf>
    <xf numFmtId="0" fontId="116" fillId="18" borderId="36" xfId="0" applyFont="1" applyFill="1" applyBorder="1" applyAlignment="1">
      <alignment vertical="center" wrapText="1"/>
    </xf>
    <xf numFmtId="0" fontId="117" fillId="18" borderId="36" xfId="0" applyFont="1" applyFill="1" applyBorder="1" applyAlignment="1">
      <alignment vertical="center" wrapText="1"/>
    </xf>
    <xf numFmtId="0" fontId="118" fillId="18" borderId="25" xfId="0" applyFont="1" applyFill="1" applyBorder="1" applyAlignment="1">
      <alignment horizontal="left" wrapText="1"/>
    </xf>
    <xf numFmtId="0" fontId="23" fillId="18" borderId="11" xfId="0" applyFont="1" applyFill="1" applyBorder="1" applyAlignment="1">
      <alignment horizontal="left" wrapText="1"/>
    </xf>
    <xf numFmtId="0" fontId="23" fillId="18" borderId="11" xfId="0" applyFont="1" applyFill="1" applyBorder="1" applyAlignment="1">
      <alignment/>
    </xf>
    <xf numFmtId="186" fontId="23" fillId="18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16" fillId="39" borderId="37" xfId="0" applyFont="1" applyFill="1" applyBorder="1" applyAlignment="1">
      <alignment vertical="center" wrapText="1"/>
    </xf>
    <xf numFmtId="0" fontId="116" fillId="39" borderId="39" xfId="0" applyFont="1" applyFill="1" applyBorder="1" applyAlignment="1">
      <alignment vertical="center" wrapText="1"/>
    </xf>
    <xf numFmtId="0" fontId="116" fillId="39" borderId="40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wrapText="1"/>
    </xf>
    <xf numFmtId="0" fontId="24" fillId="13" borderId="41" xfId="0" applyFont="1" applyFill="1" applyBorder="1" applyAlignment="1">
      <alignment horizontal="center" vertical="center"/>
    </xf>
    <xf numFmtId="0" fontId="116" fillId="39" borderId="11" xfId="0" applyFont="1" applyFill="1" applyBorder="1" applyAlignment="1">
      <alignment vertical="center"/>
    </xf>
    <xf numFmtId="0" fontId="117" fillId="18" borderId="37" xfId="0" applyFont="1" applyFill="1" applyBorder="1" applyAlignment="1">
      <alignment horizontal="center" vertical="center"/>
    </xf>
    <xf numFmtId="0" fontId="117" fillId="18" borderId="37" xfId="0" applyFont="1" applyFill="1" applyBorder="1" applyAlignment="1">
      <alignment horizontal="center" vertical="center" wrapText="1"/>
    </xf>
    <xf numFmtId="186" fontId="23" fillId="18" borderId="11" xfId="0" applyNumberFormat="1" applyFont="1" applyFill="1" applyBorder="1" applyAlignment="1">
      <alignment/>
    </xf>
    <xf numFmtId="203" fontId="14" fillId="13" borderId="11" xfId="107" applyNumberFormat="1" applyFont="1" applyFill="1" applyBorder="1" applyAlignment="1">
      <alignment horizontal="center"/>
    </xf>
    <xf numFmtId="1" fontId="112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0" fontId="119" fillId="37" borderId="10" xfId="0" applyFont="1" applyFill="1" applyBorder="1" applyAlignment="1">
      <alignment horizontal="centerContinuous" wrapText="1"/>
    </xf>
    <xf numFmtId="0" fontId="119" fillId="37" borderId="0" xfId="0" applyFont="1" applyFill="1" applyAlignment="1">
      <alignment/>
    </xf>
    <xf numFmtId="0" fontId="120" fillId="37" borderId="0" xfId="0" applyFont="1" applyFill="1" applyBorder="1" applyAlignment="1">
      <alignment wrapText="1"/>
    </xf>
    <xf numFmtId="0" fontId="11" fillId="37" borderId="0" xfId="0" applyFont="1" applyFill="1" applyBorder="1" applyAlignment="1">
      <alignment horizontal="centerContinuous" wrapText="1"/>
    </xf>
    <xf numFmtId="0" fontId="11" fillId="37" borderId="0" xfId="0" applyFont="1" applyFill="1" applyAlignment="1">
      <alignment horizontal="centerContinuous"/>
    </xf>
    <xf numFmtId="0" fontId="15" fillId="37" borderId="11" xfId="0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/>
    </xf>
    <xf numFmtId="0" fontId="10" fillId="37" borderId="11" xfId="58" applyFont="1" applyFill="1" applyBorder="1" applyAlignment="1">
      <alignment horizontal="left" vertical="center"/>
      <protection/>
    </xf>
    <xf numFmtId="0" fontId="10" fillId="37" borderId="11" xfId="58" applyFont="1" applyFill="1" applyBorder="1" applyAlignment="1">
      <alignment horizontal="left" vertical="center" wrapText="1"/>
      <protection/>
    </xf>
    <xf numFmtId="186" fontId="14" fillId="37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/>
    </xf>
    <xf numFmtId="0" fontId="15" fillId="37" borderId="11" xfId="0" applyFont="1" applyFill="1" applyBorder="1" applyAlignment="1">
      <alignment horizontal="center" vertical="center" wrapText="1"/>
    </xf>
    <xf numFmtId="186" fontId="10" fillId="33" borderId="11" xfId="58" applyNumberFormat="1" applyFont="1" applyFill="1" applyBorder="1" applyAlignment="1">
      <alignment horizontal="left" vertical="center" wrapText="1"/>
      <protection/>
    </xf>
    <xf numFmtId="204" fontId="14" fillId="33" borderId="11" xfId="0" applyNumberFormat="1" applyFont="1" applyFill="1" applyBorder="1" applyAlignment="1">
      <alignment horizontal="center"/>
    </xf>
    <xf numFmtId="0" fontId="10" fillId="0" borderId="11" xfId="58" applyFont="1" applyBorder="1" applyAlignment="1">
      <alignment horizontal="left" vertical="center" wrapText="1"/>
      <protection/>
    </xf>
    <xf numFmtId="0" fontId="14" fillId="0" borderId="11" xfId="75" applyFont="1" applyFill="1" applyBorder="1" applyAlignment="1">
      <alignment horizontal="right" vertical="center" wrapText="1"/>
      <protection/>
    </xf>
    <xf numFmtId="0" fontId="22" fillId="33" borderId="11" xfId="0" applyFont="1" applyFill="1" applyBorder="1" applyAlignment="1">
      <alignment horizontal="center" wrapText="1"/>
    </xf>
    <xf numFmtId="186" fontId="22" fillId="33" borderId="11" xfId="0" applyNumberFormat="1" applyFont="1" applyFill="1" applyBorder="1" applyAlignment="1">
      <alignment wrapText="1"/>
    </xf>
    <xf numFmtId="2" fontId="11" fillId="0" borderId="0" xfId="0" applyNumberFormat="1" applyFont="1" applyAlignment="1">
      <alignment/>
    </xf>
    <xf numFmtId="0" fontId="19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0" fillId="0" borderId="11" xfId="58" applyFont="1" applyBorder="1" applyAlignment="1">
      <alignment horizontal="left" vertical="center"/>
      <protection/>
    </xf>
    <xf numFmtId="0" fontId="22" fillId="0" borderId="11" xfId="75" applyFont="1" applyFill="1" applyBorder="1" applyAlignment="1">
      <alignment horizontal="right" vertical="center" wrapText="1"/>
      <protection/>
    </xf>
    <xf numFmtId="186" fontId="11" fillId="33" borderId="11" xfId="0" applyNumberFormat="1" applyFont="1" applyFill="1" applyBorder="1" applyAlignment="1">
      <alignment/>
    </xf>
    <xf numFmtId="0" fontId="22" fillId="0" borderId="11" xfId="58" applyFont="1" applyBorder="1" applyAlignment="1">
      <alignment horizontal="right" vertical="center"/>
      <protection/>
    </xf>
    <xf numFmtId="0" fontId="111" fillId="37" borderId="11" xfId="0" applyFont="1" applyFill="1" applyBorder="1" applyAlignment="1">
      <alignment horizontal="left" vertical="center"/>
    </xf>
    <xf numFmtId="0" fontId="121" fillId="37" borderId="11" xfId="58" applyFont="1" applyFill="1" applyBorder="1" applyAlignment="1">
      <alignment horizontal="left" vertical="center"/>
      <protection/>
    </xf>
    <xf numFmtId="0" fontId="22" fillId="37" borderId="11" xfId="58" applyFont="1" applyFill="1" applyBorder="1" applyAlignment="1">
      <alignment horizontal="right" vertical="center"/>
      <protection/>
    </xf>
    <xf numFmtId="0" fontId="110" fillId="37" borderId="11" xfId="0" applyFont="1" applyFill="1" applyBorder="1" applyAlignment="1">
      <alignment/>
    </xf>
    <xf numFmtId="186" fontId="110" fillId="37" borderId="11" xfId="0" applyNumberFormat="1" applyFont="1" applyFill="1" applyBorder="1" applyAlignment="1">
      <alignment horizontal="center"/>
    </xf>
    <xf numFmtId="2" fontId="110" fillId="37" borderId="11" xfId="0" applyNumberFormat="1" applyFont="1" applyFill="1" applyBorder="1" applyAlignment="1">
      <alignment horizontal="center"/>
    </xf>
    <xf numFmtId="186" fontId="110" fillId="37" borderId="11" xfId="0" applyNumberFormat="1" applyFont="1" applyFill="1" applyBorder="1" applyAlignment="1">
      <alignment/>
    </xf>
    <xf numFmtId="0" fontId="110" fillId="37" borderId="11" xfId="0" applyFont="1" applyFill="1" applyBorder="1" applyAlignment="1">
      <alignment horizontal="center"/>
    </xf>
    <xf numFmtId="186" fontId="122" fillId="37" borderId="11" xfId="0" applyNumberFormat="1" applyFont="1" applyFill="1" applyBorder="1" applyAlignment="1">
      <alignment wrapText="1"/>
    </xf>
    <xf numFmtId="0" fontId="110" fillId="37" borderId="0" xfId="0" applyFont="1" applyFill="1" applyAlignment="1">
      <alignment/>
    </xf>
    <xf numFmtId="0" fontId="11" fillId="37" borderId="11" xfId="0" applyFont="1" applyFill="1" applyBorder="1" applyAlignment="1">
      <alignment/>
    </xf>
    <xf numFmtId="2" fontId="11" fillId="37" borderId="11" xfId="0" applyNumberFormat="1" applyFont="1" applyFill="1" applyBorder="1" applyAlignment="1">
      <alignment horizontal="center"/>
    </xf>
    <xf numFmtId="0" fontId="111" fillId="0" borderId="11" xfId="0" applyFont="1" applyBorder="1" applyAlignment="1">
      <alignment horizontal="left" vertical="center"/>
    </xf>
    <xf numFmtId="0" fontId="121" fillId="0" borderId="11" xfId="58" applyFont="1" applyBorder="1" applyAlignment="1">
      <alignment horizontal="left" vertical="center"/>
      <protection/>
    </xf>
    <xf numFmtId="0" fontId="122" fillId="0" borderId="11" xfId="58" applyFont="1" applyBorder="1" applyAlignment="1">
      <alignment horizontal="right" vertical="center"/>
      <protection/>
    </xf>
    <xf numFmtId="0" fontId="110" fillId="33" borderId="11" xfId="0" applyFont="1" applyFill="1" applyBorder="1" applyAlignment="1">
      <alignment/>
    </xf>
    <xf numFmtId="186" fontId="110" fillId="33" borderId="11" xfId="0" applyNumberFormat="1" applyFont="1" applyFill="1" applyBorder="1" applyAlignment="1">
      <alignment horizontal="center"/>
    </xf>
    <xf numFmtId="2" fontId="110" fillId="33" borderId="11" xfId="0" applyNumberFormat="1" applyFont="1" applyFill="1" applyBorder="1" applyAlignment="1">
      <alignment horizontal="center"/>
    </xf>
    <xf numFmtId="0" fontId="110" fillId="33" borderId="11" xfId="0" applyFont="1" applyFill="1" applyBorder="1" applyAlignment="1">
      <alignment horizontal="center"/>
    </xf>
    <xf numFmtId="0" fontId="110" fillId="0" borderId="0" xfId="0" applyFont="1" applyAlignment="1">
      <alignment/>
    </xf>
    <xf numFmtId="0" fontId="15" fillId="37" borderId="11" xfId="0" applyFont="1" applyFill="1" applyBorder="1" applyAlignment="1">
      <alignment horizontal="left" vertical="center"/>
    </xf>
    <xf numFmtId="0" fontId="122" fillId="37" borderId="11" xfId="58" applyFont="1" applyFill="1" applyBorder="1" applyAlignment="1">
      <alignment horizontal="right" vertical="center"/>
      <protection/>
    </xf>
    <xf numFmtId="0" fontId="110" fillId="37" borderId="11" xfId="0" applyNumberFormat="1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center"/>
    </xf>
    <xf numFmtId="0" fontId="10" fillId="16" borderId="11" xfId="58" applyFont="1" applyFill="1" applyBorder="1" applyAlignment="1">
      <alignment horizontal="left" vertical="center"/>
      <protection/>
    </xf>
    <xf numFmtId="0" fontId="11" fillId="16" borderId="11" xfId="0" applyFont="1" applyFill="1" applyBorder="1" applyAlignment="1">
      <alignment/>
    </xf>
    <xf numFmtId="186" fontId="11" fillId="16" borderId="11" xfId="0" applyNumberFormat="1" applyFont="1" applyFill="1" applyBorder="1" applyAlignment="1">
      <alignment horizontal="center"/>
    </xf>
    <xf numFmtId="2" fontId="11" fillId="16" borderId="11" xfId="0" applyNumberFormat="1" applyFont="1" applyFill="1" applyBorder="1" applyAlignment="1">
      <alignment horizontal="center"/>
    </xf>
    <xf numFmtId="186" fontId="11" fillId="16" borderId="11" xfId="0" applyNumberFormat="1" applyFont="1" applyFill="1" applyBorder="1" applyAlignment="1">
      <alignment/>
    </xf>
    <xf numFmtId="0" fontId="11" fillId="16" borderId="11" xfId="0" applyFont="1" applyFill="1" applyBorder="1" applyAlignment="1">
      <alignment horizontal="center"/>
    </xf>
    <xf numFmtId="0" fontId="11" fillId="16" borderId="0" xfId="0" applyFont="1" applyFill="1" applyAlignment="1">
      <alignment/>
    </xf>
    <xf numFmtId="0" fontId="122" fillId="37" borderId="11" xfId="75" applyFont="1" applyFill="1" applyBorder="1" applyAlignment="1">
      <alignment horizontal="right" vertical="center" wrapText="1"/>
      <protection/>
    </xf>
    <xf numFmtId="0" fontId="49" fillId="0" borderId="11" xfId="75" applyFont="1" applyFill="1" applyBorder="1" applyAlignment="1">
      <alignment horizontal="right" vertical="center" wrapText="1"/>
      <protection/>
    </xf>
    <xf numFmtId="0" fontId="121" fillId="37" borderId="11" xfId="58" applyFont="1" applyFill="1" applyBorder="1" applyAlignment="1">
      <alignment horizontal="left" vertical="center" wrapText="1"/>
      <protection/>
    </xf>
    <xf numFmtId="0" fontId="122" fillId="37" borderId="11" xfId="58" applyFont="1" applyFill="1" applyBorder="1" applyAlignment="1">
      <alignment horizontal="right" vertical="center" wrapText="1"/>
      <protection/>
    </xf>
    <xf numFmtId="2" fontId="109" fillId="33" borderId="11" xfId="0" applyNumberFormat="1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/>
    </xf>
    <xf numFmtId="186" fontId="109" fillId="37" borderId="11" xfId="0" applyNumberFormat="1" applyFont="1" applyFill="1" applyBorder="1" applyAlignment="1">
      <alignment horizontal="center"/>
    </xf>
    <xf numFmtId="0" fontId="10" fillId="0" borderId="11" xfId="58" applyFont="1" applyBorder="1" applyAlignment="1">
      <alignment wrapText="1"/>
      <protection/>
    </xf>
    <xf numFmtId="0" fontId="10" fillId="16" borderId="11" xfId="58" applyFont="1" applyFill="1" applyBorder="1" applyAlignment="1">
      <alignment horizontal="left" vertical="center" wrapText="1"/>
      <protection/>
    </xf>
    <xf numFmtId="0" fontId="49" fillId="16" borderId="11" xfId="75" applyFont="1" applyFill="1" applyBorder="1" applyAlignment="1">
      <alignment horizontal="right" vertical="center" wrapText="1"/>
      <protection/>
    </xf>
    <xf numFmtId="0" fontId="49" fillId="37" borderId="11" xfId="75" applyFont="1" applyFill="1" applyBorder="1" applyAlignment="1">
      <alignment horizontal="right" vertical="center" wrapText="1"/>
      <protection/>
    </xf>
    <xf numFmtId="0" fontId="22" fillId="37" borderId="11" xfId="75" applyFont="1" applyFill="1" applyBorder="1" applyAlignment="1">
      <alignment horizontal="right" vertical="center" wrapText="1"/>
      <protection/>
    </xf>
    <xf numFmtId="0" fontId="118" fillId="33" borderId="11" xfId="0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 wrapText="1"/>
    </xf>
    <xf numFmtId="0" fontId="15" fillId="37" borderId="11" xfId="0" applyFont="1" applyFill="1" applyBorder="1" applyAlignment="1">
      <alignment/>
    </xf>
    <xf numFmtId="186" fontId="15" fillId="37" borderId="11" xfId="0" applyNumberFormat="1" applyFont="1" applyFill="1" applyBorder="1" applyAlignment="1">
      <alignment horizontal="center" wrapText="1"/>
    </xf>
    <xf numFmtId="186" fontId="15" fillId="37" borderId="11" xfId="0" applyNumberFormat="1" applyFont="1" applyFill="1" applyBorder="1" applyAlignment="1">
      <alignment horizontal="center"/>
    </xf>
    <xf numFmtId="0" fontId="15" fillId="37" borderId="0" xfId="0" applyFont="1" applyFill="1" applyAlignment="1">
      <alignment horizontal="center"/>
    </xf>
    <xf numFmtId="0" fontId="18" fillId="37" borderId="0" xfId="0" applyFont="1" applyFill="1" applyBorder="1" applyAlignment="1">
      <alignment/>
    </xf>
    <xf numFmtId="186" fontId="11" fillId="0" borderId="0" xfId="0" applyNumberFormat="1" applyFont="1" applyAlignment="1">
      <alignment/>
    </xf>
    <xf numFmtId="0" fontId="50" fillId="40" borderId="0" xfId="0" applyFont="1" applyFill="1" applyAlignment="1">
      <alignment/>
    </xf>
    <xf numFmtId="0" fontId="51" fillId="41" borderId="0" xfId="0" applyFont="1" applyFill="1" applyAlignment="1">
      <alignment/>
    </xf>
    <xf numFmtId="0" fontId="14" fillId="33" borderId="10" xfId="0" applyFont="1" applyFill="1" applyBorder="1" applyAlignment="1">
      <alignment horizontal="center" wrapText="1"/>
    </xf>
    <xf numFmtId="1" fontId="16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186" fontId="123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0" fontId="31" fillId="33" borderId="30" xfId="0" applyFont="1" applyFill="1" applyBorder="1" applyAlignment="1">
      <alignment horizontal="centerContinuous" wrapText="1"/>
    </xf>
    <xf numFmtId="0" fontId="32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left" indent="2"/>
    </xf>
    <xf numFmtId="0" fontId="13" fillId="12" borderId="11" xfId="0" applyFont="1" applyFill="1" applyBorder="1" applyAlignment="1">
      <alignment horizontal="center"/>
    </xf>
    <xf numFmtId="0" fontId="13" fillId="12" borderId="11" xfId="0" applyFont="1" applyFill="1" applyBorder="1" applyAlignment="1">
      <alignment horizontal="left" indent="2"/>
    </xf>
    <xf numFmtId="0" fontId="32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wrapText="1"/>
    </xf>
    <xf numFmtId="0" fontId="124" fillId="0" borderId="0" xfId="0" applyFont="1" applyAlignment="1">
      <alignment horizontal="justify" vertical="center"/>
    </xf>
    <xf numFmtId="0" fontId="124" fillId="0" borderId="0" xfId="0" applyFont="1" applyAlignment="1">
      <alignment/>
    </xf>
    <xf numFmtId="0" fontId="13" fillId="33" borderId="11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/>
    </xf>
    <xf numFmtId="0" fontId="13" fillId="37" borderId="11" xfId="0" applyFont="1" applyFill="1" applyBorder="1" applyAlignment="1">
      <alignment horizontal="center"/>
    </xf>
    <xf numFmtId="0" fontId="107" fillId="33" borderId="11" xfId="0" applyFont="1" applyFill="1" applyBorder="1" applyAlignment="1">
      <alignment/>
    </xf>
    <xf numFmtId="0" fontId="123" fillId="33" borderId="11" xfId="0" applyFont="1" applyFill="1" applyBorder="1" applyAlignment="1">
      <alignment/>
    </xf>
    <xf numFmtId="0" fontId="32" fillId="33" borderId="11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186" fontId="18" fillId="0" borderId="0" xfId="0" applyNumberFormat="1" applyFont="1" applyAlignment="1">
      <alignment/>
    </xf>
    <xf numFmtId="0" fontId="10" fillId="0" borderId="11" xfId="58" applyFont="1" applyFill="1" applyBorder="1" applyAlignment="1">
      <alignment horizontal="left" vertical="center" wrapText="1"/>
      <protection/>
    </xf>
    <xf numFmtId="0" fontId="121" fillId="0" borderId="11" xfId="58" applyFont="1" applyBorder="1" applyAlignment="1">
      <alignment horizontal="left" vertical="center" wrapText="1"/>
      <protection/>
    </xf>
    <xf numFmtId="0" fontId="10" fillId="37" borderId="11" xfId="58" applyFont="1" applyFill="1" applyBorder="1" applyAlignment="1">
      <alignment horizontal="center" vertical="center" wrapText="1"/>
      <protection/>
    </xf>
    <xf numFmtId="186" fontId="30" fillId="36" borderId="0" xfId="0" applyNumberFormat="1" applyFont="1" applyFill="1" applyAlignment="1">
      <alignment/>
    </xf>
    <xf numFmtId="0" fontId="14" fillId="33" borderId="11" xfId="0" applyFont="1" applyFill="1" applyBorder="1" applyAlignment="1">
      <alignment horizontal="centerContinuous" wrapText="1"/>
    </xf>
    <xf numFmtId="0" fontId="11" fillId="4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6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left" wrapText="1"/>
    </xf>
    <xf numFmtId="0" fontId="11" fillId="0" borderId="25" xfId="0" applyFont="1" applyBorder="1" applyAlignment="1">
      <alignment/>
    </xf>
    <xf numFmtId="0" fontId="11" fillId="37" borderId="25" xfId="0" applyFont="1" applyFill="1" applyBorder="1" applyAlignment="1">
      <alignment/>
    </xf>
    <xf numFmtId="0" fontId="11" fillId="0" borderId="25" xfId="0" applyFont="1" applyBorder="1" applyAlignment="1">
      <alignment horizontal="left" vertical="center" wrapText="1"/>
    </xf>
    <xf numFmtId="0" fontId="16" fillId="0" borderId="25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33" borderId="11" xfId="0" applyFont="1" applyFill="1" applyBorder="1" applyAlignment="1">
      <alignment wrapText="1"/>
    </xf>
    <xf numFmtId="186" fontId="13" fillId="33" borderId="11" xfId="0" applyNumberFormat="1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horizontal="center" wrapText="1"/>
    </xf>
    <xf numFmtId="0" fontId="15" fillId="42" borderId="11" xfId="0" applyFont="1" applyFill="1" applyBorder="1" applyAlignment="1">
      <alignment horizontal="center" wrapText="1"/>
    </xf>
    <xf numFmtId="186" fontId="14" fillId="42" borderId="11" xfId="0" applyNumberFormat="1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 wrapText="1"/>
    </xf>
    <xf numFmtId="0" fontId="15" fillId="42" borderId="14" xfId="0" applyFont="1" applyFill="1" applyBorder="1" applyAlignment="1">
      <alignment horizontal="center" wrapText="1"/>
    </xf>
    <xf numFmtId="186" fontId="14" fillId="31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97" fontId="30" fillId="31" borderId="0" xfId="114" applyNumberFormat="1" applyFont="1" applyFill="1" applyAlignment="1">
      <alignment/>
    </xf>
    <xf numFmtId="0" fontId="24" fillId="0" borderId="0" xfId="0" applyFont="1" applyAlignment="1">
      <alignment/>
    </xf>
    <xf numFmtId="0" fontId="53" fillId="0" borderId="0" xfId="0" applyFont="1" applyAlignment="1">
      <alignment/>
    </xf>
    <xf numFmtId="186" fontId="14" fillId="31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110" fillId="0" borderId="0" xfId="0" applyFont="1" applyFill="1" applyBorder="1" applyAlignment="1">
      <alignment/>
    </xf>
    <xf numFmtId="186" fontId="11" fillId="37" borderId="11" xfId="0" applyNumberFormat="1" applyFont="1" applyFill="1" applyBorder="1" applyAlignment="1">
      <alignment horizontal="center" vertical="center" wrapText="1"/>
    </xf>
    <xf numFmtId="0" fontId="10" fillId="42" borderId="11" xfId="58" applyFont="1" applyFill="1" applyBorder="1" applyAlignment="1">
      <alignment horizontal="left" vertical="center" wrapText="1"/>
      <protection/>
    </xf>
    <xf numFmtId="0" fontId="33" fillId="37" borderId="11" xfId="58" applyFont="1" applyFill="1" applyBorder="1" applyAlignment="1">
      <alignment horizontal="right" vertical="center"/>
      <protection/>
    </xf>
    <xf numFmtId="0" fontId="15" fillId="2" borderId="11" xfId="0" applyFont="1" applyFill="1" applyBorder="1" applyAlignment="1">
      <alignment horizontal="left" vertical="center"/>
    </xf>
    <xf numFmtId="0" fontId="21" fillId="2" borderId="11" xfId="58" applyFont="1" applyFill="1" applyBorder="1" applyAlignment="1">
      <alignment horizontal="left" vertical="center" wrapText="1"/>
      <protection/>
    </xf>
    <xf numFmtId="0" fontId="21" fillId="2" borderId="11" xfId="58" applyFont="1" applyFill="1" applyBorder="1" applyAlignment="1">
      <alignment horizontal="left" vertical="center"/>
      <protection/>
    </xf>
    <xf numFmtId="0" fontId="33" fillId="2" borderId="11" xfId="58" applyFont="1" applyFill="1" applyBorder="1" applyAlignment="1">
      <alignment horizontal="right" vertical="center"/>
      <protection/>
    </xf>
    <xf numFmtId="0" fontId="11" fillId="2" borderId="11" xfId="0" applyFont="1" applyFill="1" applyBorder="1" applyAlignment="1">
      <alignment/>
    </xf>
    <xf numFmtId="186" fontId="11" fillId="2" borderId="11" xfId="0" applyNumberFormat="1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86" fontId="22" fillId="2" borderId="11" xfId="0" applyNumberFormat="1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48" fillId="2" borderId="11" xfId="58" applyFont="1" applyFill="1" applyBorder="1" applyAlignment="1">
      <alignment horizontal="right" vertical="center" wrapText="1"/>
      <protection/>
    </xf>
    <xf numFmtId="0" fontId="10" fillId="2" borderId="11" xfId="58" applyFont="1" applyFill="1" applyBorder="1" applyAlignment="1">
      <alignment horizontal="left" vertical="center"/>
      <protection/>
    </xf>
    <xf numFmtId="0" fontId="22" fillId="2" borderId="11" xfId="58" applyFont="1" applyFill="1" applyBorder="1" applyAlignment="1">
      <alignment horizontal="right" vertical="center"/>
      <protection/>
    </xf>
    <xf numFmtId="0" fontId="10" fillId="2" borderId="11" xfId="58" applyFont="1" applyFill="1" applyBorder="1" applyAlignment="1">
      <alignment horizontal="left" vertical="center" wrapText="1"/>
      <protection/>
    </xf>
    <xf numFmtId="0" fontId="33" fillId="2" borderId="11" xfId="58" applyFont="1" applyFill="1" applyBorder="1" applyAlignment="1">
      <alignment horizontal="right" vertical="center" wrapText="1"/>
      <protection/>
    </xf>
    <xf numFmtId="0" fontId="49" fillId="2" borderId="11" xfId="75" applyFont="1" applyFill="1" applyBorder="1" applyAlignment="1">
      <alignment horizontal="right" vertical="center" wrapText="1"/>
      <protection/>
    </xf>
    <xf numFmtId="186" fontId="11" fillId="2" borderId="11" xfId="0" applyNumberFormat="1" applyFont="1" applyFill="1" applyBorder="1" applyAlignment="1">
      <alignment/>
    </xf>
    <xf numFmtId="0" fontId="111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wrapText="1"/>
    </xf>
    <xf numFmtId="0" fontId="14" fillId="2" borderId="11" xfId="0" applyFont="1" applyFill="1" applyBorder="1" applyAlignment="1">
      <alignment horizontal="center"/>
    </xf>
    <xf numFmtId="0" fontId="21" fillId="37" borderId="11" xfId="58" applyFont="1" applyFill="1" applyBorder="1" applyAlignment="1">
      <alignment horizontal="left" vertical="center" wrapText="1"/>
      <protection/>
    </xf>
    <xf numFmtId="0" fontId="10" fillId="37" borderId="0" xfId="0" applyFont="1" applyFill="1" applyBorder="1" applyAlignment="1">
      <alignment horizontal="center" wrapText="1"/>
    </xf>
    <xf numFmtId="0" fontId="12" fillId="33" borderId="31" xfId="0" applyFont="1" applyFill="1" applyBorder="1" applyAlignment="1">
      <alignment horizontal="centerContinuous" wrapText="1"/>
    </xf>
    <xf numFmtId="0" fontId="46" fillId="33" borderId="0" xfId="0" applyFont="1" applyFill="1" applyBorder="1" applyAlignment="1">
      <alignment horizontal="centerContinuous" vertical="center" wrapText="1"/>
    </xf>
    <xf numFmtId="0" fontId="13" fillId="33" borderId="0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42" xfId="0" applyFont="1" applyBorder="1" applyAlignment="1">
      <alignment horizontal="centerContinuous" wrapText="1"/>
    </xf>
    <xf numFmtId="0" fontId="11" fillId="0" borderId="28" xfId="0" applyFont="1" applyBorder="1" applyAlignment="1">
      <alignment horizontal="centerContinuous" wrapText="1"/>
    </xf>
    <xf numFmtId="0" fontId="14" fillId="0" borderId="0" xfId="0" applyFont="1" applyAlignment="1">
      <alignment horizontal="center" vertical="top"/>
    </xf>
    <xf numFmtId="0" fontId="125" fillId="42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33" borderId="0" xfId="0" applyFont="1" applyFill="1" applyBorder="1" applyAlignment="1">
      <alignment horizontal="left" wrapText="1"/>
    </xf>
    <xf numFmtId="0" fontId="32" fillId="33" borderId="0" xfId="0" applyFont="1" applyFill="1" applyBorder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126" fillId="33" borderId="0" xfId="0" applyFont="1" applyFill="1" applyAlignment="1">
      <alignment horizontal="centerContinuous" wrapText="1"/>
    </xf>
    <xf numFmtId="0" fontId="15" fillId="37" borderId="12" xfId="0" applyFont="1" applyFill="1" applyBorder="1" applyAlignment="1">
      <alignment horizontal="center" wrapText="1"/>
    </xf>
    <xf numFmtId="0" fontId="15" fillId="37" borderId="25" xfId="0" applyFont="1" applyFill="1" applyBorder="1" applyAlignment="1">
      <alignment horizontal="center" wrapText="1"/>
    </xf>
    <xf numFmtId="0" fontId="15" fillId="37" borderId="32" xfId="0" applyFont="1" applyFill="1" applyBorder="1" applyAlignment="1">
      <alignment horizontal="center" wrapText="1"/>
    </xf>
    <xf numFmtId="0" fontId="15" fillId="37" borderId="4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4" fillId="0" borderId="14" xfId="0" applyFont="1" applyBorder="1" applyAlignment="1">
      <alignment vertical="center" wrapText="1"/>
    </xf>
    <xf numFmtId="0" fontId="35" fillId="0" borderId="44" xfId="0" applyFont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wrapText="1"/>
    </xf>
    <xf numFmtId="0" fontId="11" fillId="0" borderId="4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12" borderId="17" xfId="0" applyFont="1" applyFill="1" applyBorder="1" applyAlignment="1">
      <alignment wrapText="1"/>
    </xf>
    <xf numFmtId="0" fontId="15" fillId="12" borderId="26" xfId="0" applyFont="1" applyFill="1" applyBorder="1" applyAlignment="1">
      <alignment horizontal="center" wrapText="1"/>
    </xf>
    <xf numFmtId="0" fontId="15" fillId="12" borderId="14" xfId="0" applyFont="1" applyFill="1" applyBorder="1" applyAlignment="1">
      <alignment horizontal="center" wrapText="1"/>
    </xf>
    <xf numFmtId="0" fontId="21" fillId="12" borderId="14" xfId="0" applyFont="1" applyFill="1" applyBorder="1" applyAlignment="1">
      <alignment horizontal="center" wrapText="1"/>
    </xf>
    <xf numFmtId="197" fontId="11" fillId="0" borderId="11" xfId="114" applyNumberFormat="1" applyFont="1" applyBorder="1" applyAlignment="1">
      <alignment horizontal="center"/>
    </xf>
    <xf numFmtId="197" fontId="11" fillId="37" borderId="11" xfId="114" applyNumberFormat="1" applyFont="1" applyFill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14" fillId="37" borderId="11" xfId="0" applyFont="1" applyFill="1" applyBorder="1" applyAlignment="1">
      <alignment horizontal="center" wrapText="1"/>
    </xf>
    <xf numFmtId="0" fontId="16" fillId="0" borderId="11" xfId="0" applyFont="1" applyBorder="1" applyAlignment="1">
      <alignment vertical="center" wrapText="1"/>
    </xf>
    <xf numFmtId="0" fontId="11" fillId="12" borderId="11" xfId="0" applyFont="1" applyFill="1" applyBorder="1" applyAlignment="1">
      <alignment horizontal="center"/>
    </xf>
    <xf numFmtId="0" fontId="45" fillId="12" borderId="11" xfId="0" applyFont="1" applyFill="1" applyBorder="1" applyAlignment="1">
      <alignment wrapText="1"/>
    </xf>
    <xf numFmtId="0" fontId="11" fillId="12" borderId="11" xfId="0" applyFont="1" applyFill="1" applyBorder="1" applyAlignment="1">
      <alignment horizontal="center" wrapText="1"/>
    </xf>
    <xf numFmtId="197" fontId="11" fillId="12" borderId="11" xfId="114" applyNumberFormat="1" applyFont="1" applyFill="1" applyBorder="1" applyAlignment="1">
      <alignment horizontal="center"/>
    </xf>
    <xf numFmtId="197" fontId="23" fillId="12" borderId="11" xfId="114" applyNumberFormat="1" applyFont="1" applyFill="1" applyBorder="1" applyAlignment="1">
      <alignment horizontal="center" wrapText="1"/>
    </xf>
    <xf numFmtId="0" fontId="15" fillId="12" borderId="12" xfId="0" applyFont="1" applyFill="1" applyBorder="1" applyAlignment="1">
      <alignment horizontal="centerContinuous" wrapText="1"/>
    </xf>
    <xf numFmtId="0" fontId="15" fillId="12" borderId="11" xfId="0" applyFont="1" applyFill="1" applyBorder="1" applyAlignment="1">
      <alignment horizontal="centerContinuous" wrapText="1"/>
    </xf>
    <xf numFmtId="0" fontId="15" fillId="12" borderId="11" xfId="0" applyFont="1" applyFill="1" applyBorder="1" applyAlignment="1">
      <alignment horizontal="center" wrapText="1"/>
    </xf>
    <xf numFmtId="0" fontId="15" fillId="37" borderId="11" xfId="0" applyFont="1" applyFill="1" applyBorder="1" applyAlignment="1">
      <alignment horizontal="center" wrapText="1"/>
    </xf>
    <xf numFmtId="0" fontId="118" fillId="42" borderId="11" xfId="0" applyFont="1" applyFill="1" applyBorder="1" applyAlignment="1">
      <alignment horizontal="center" wrapText="1"/>
    </xf>
    <xf numFmtId="1" fontId="14" fillId="42" borderId="11" xfId="0" applyNumberFormat="1" applyFont="1" applyFill="1" applyBorder="1" applyAlignment="1">
      <alignment horizontal="center" wrapText="1"/>
    </xf>
    <xf numFmtId="197" fontId="11" fillId="42" borderId="11" xfId="114" applyNumberFormat="1" applyFont="1" applyFill="1" applyBorder="1" applyAlignment="1">
      <alignment horizontal="center"/>
    </xf>
    <xf numFmtId="206" fontId="11" fillId="37" borderId="11" xfId="0" applyNumberFormat="1" applyFont="1" applyFill="1" applyBorder="1" applyAlignment="1">
      <alignment horizontal="centerContinuous" wrapText="1"/>
    </xf>
    <xf numFmtId="0" fontId="19" fillId="0" borderId="11" xfId="0" applyFont="1" applyBorder="1" applyAlignment="1">
      <alignment wrapText="1"/>
    </xf>
    <xf numFmtId="1" fontId="14" fillId="0" borderId="11" xfId="0" applyNumberFormat="1" applyFont="1" applyBorder="1" applyAlignment="1">
      <alignment horizontal="center" wrapText="1"/>
    </xf>
    <xf numFmtId="1" fontId="109" fillId="42" borderId="11" xfId="0" applyNumberFormat="1" applyFont="1" applyFill="1" applyBorder="1" applyAlignment="1">
      <alignment horizontal="center" wrapText="1"/>
    </xf>
    <xf numFmtId="0" fontId="11" fillId="37" borderId="11" xfId="0" applyFont="1" applyFill="1" applyBorder="1" applyAlignment="1">
      <alignment horizontal="center" wrapText="1"/>
    </xf>
    <xf numFmtId="197" fontId="11" fillId="0" borderId="0" xfId="114" applyNumberFormat="1" applyFont="1" applyAlignment="1">
      <alignment/>
    </xf>
    <xf numFmtId="0" fontId="14" fillId="12" borderId="11" xfId="0" applyFont="1" applyFill="1" applyBorder="1" applyAlignment="1">
      <alignment vertical="center"/>
    </xf>
    <xf numFmtId="0" fontId="23" fillId="12" borderId="11" xfId="0" applyFont="1" applyFill="1" applyBorder="1" applyAlignment="1">
      <alignment vertical="center" wrapText="1"/>
    </xf>
    <xf numFmtId="0" fontId="14" fillId="12" borderId="17" xfId="0" applyFont="1" applyFill="1" applyBorder="1" applyAlignment="1">
      <alignment vertical="center"/>
    </xf>
    <xf numFmtId="0" fontId="23" fillId="12" borderId="17" xfId="0" applyFont="1" applyFill="1" applyBorder="1" applyAlignment="1">
      <alignment vertical="center" wrapText="1"/>
    </xf>
    <xf numFmtId="0" fontId="32" fillId="12" borderId="11" xfId="0" applyFont="1" applyFill="1" applyBorder="1" applyAlignment="1">
      <alignment horizontal="left" wrapText="1"/>
    </xf>
    <xf numFmtId="0" fontId="13" fillId="12" borderId="11" xfId="0" applyFont="1" applyFill="1" applyBorder="1" applyAlignment="1">
      <alignment horizontal="center" wrapText="1"/>
    </xf>
    <xf numFmtId="0" fontId="125" fillId="0" borderId="0" xfId="0" applyFont="1" applyAlignment="1">
      <alignment vertical="top" wrapText="1"/>
    </xf>
    <xf numFmtId="0" fontId="125" fillId="0" borderId="0" xfId="0" applyFont="1" applyAlignment="1">
      <alignment/>
    </xf>
    <xf numFmtId="0" fontId="127" fillId="42" borderId="0" xfId="0" applyFont="1" applyFill="1" applyAlignment="1">
      <alignment horizontal="center"/>
    </xf>
    <xf numFmtId="0" fontId="125" fillId="0" borderId="0" xfId="0" applyFont="1" applyAlignment="1">
      <alignment horizontal="left"/>
    </xf>
    <xf numFmtId="186" fontId="22" fillId="37" borderId="11" xfId="0" applyNumberFormat="1" applyFont="1" applyFill="1" applyBorder="1" applyAlignment="1">
      <alignment wrapText="1"/>
    </xf>
    <xf numFmtId="0" fontId="128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0" fontId="14" fillId="43" borderId="28" xfId="0" applyFont="1" applyFill="1" applyBorder="1" applyAlignment="1">
      <alignment horizontal="centerContinuous"/>
    </xf>
    <xf numFmtId="0" fontId="14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center"/>
    </xf>
    <xf numFmtId="0" fontId="16" fillId="0" borderId="24" xfId="0" applyFont="1" applyFill="1" applyBorder="1" applyAlignment="1" applyProtection="1">
      <alignment horizontal="center" wrapText="1"/>
      <protection/>
    </xf>
    <xf numFmtId="0" fontId="16" fillId="0" borderId="45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16" fillId="0" borderId="45" xfId="0" applyFont="1" applyFill="1" applyBorder="1" applyAlignment="1" applyProtection="1">
      <alignment horizontal="center" wrapText="1"/>
      <protection/>
    </xf>
    <xf numFmtId="0" fontId="16" fillId="0" borderId="47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12" borderId="11" xfId="0" applyFont="1" applyFill="1" applyBorder="1" applyAlignment="1">
      <alignment horizontal="center"/>
    </xf>
    <xf numFmtId="0" fontId="25" fillId="12" borderId="25" xfId="0" applyFont="1" applyFill="1" applyBorder="1" applyAlignment="1" applyProtection="1">
      <alignment horizontal="left" vertical="center" wrapText="1"/>
      <protection locked="0"/>
    </xf>
    <xf numFmtId="207" fontId="11" fillId="4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4" fillId="12" borderId="11" xfId="0" applyFont="1" applyFill="1" applyBorder="1" applyAlignment="1">
      <alignment horizontal="center"/>
    </xf>
    <xf numFmtId="0" fontId="25" fillId="12" borderId="25" xfId="0" applyFont="1" applyFill="1" applyBorder="1" applyAlignment="1" applyProtection="1">
      <alignment horizontal="left" vertical="center"/>
      <protection locked="0"/>
    </xf>
    <xf numFmtId="0" fontId="109" fillId="0" borderId="11" xfId="0" applyFont="1" applyBorder="1" applyAlignment="1">
      <alignment/>
    </xf>
    <xf numFmtId="186" fontId="11" fillId="0" borderId="0" xfId="0" applyNumberFormat="1" applyFont="1" applyBorder="1" applyAlignment="1">
      <alignment horizontal="center"/>
    </xf>
    <xf numFmtId="0" fontId="109" fillId="0" borderId="0" xfId="0" applyFont="1" applyBorder="1" applyAlignment="1">
      <alignment/>
    </xf>
    <xf numFmtId="0" fontId="0" fillId="0" borderId="0" xfId="0" applyBorder="1" applyAlignment="1">
      <alignment/>
    </xf>
    <xf numFmtId="0" fontId="118" fillId="0" borderId="0" xfId="0" applyFont="1" applyBorder="1" applyAlignment="1">
      <alignment horizontal="right" vertical="center"/>
    </xf>
    <xf numFmtId="0" fontId="118" fillId="0" borderId="0" xfId="0" applyFont="1" applyBorder="1" applyAlignment="1">
      <alignment/>
    </xf>
    <xf numFmtId="0" fontId="129" fillId="0" borderId="0" xfId="0" applyFont="1" applyBorder="1" applyAlignment="1">
      <alignment/>
    </xf>
    <xf numFmtId="0" fontId="128" fillId="0" borderId="0" xfId="0" applyFont="1" applyBorder="1" applyAlignment="1">
      <alignment/>
    </xf>
    <xf numFmtId="0" fontId="129" fillId="0" borderId="0" xfId="0" applyFont="1" applyFill="1" applyBorder="1" applyAlignment="1">
      <alignment/>
    </xf>
    <xf numFmtId="0" fontId="118" fillId="0" borderId="0" xfId="0" applyFont="1" applyBorder="1" applyAlignment="1">
      <alignment vertical="center"/>
    </xf>
    <xf numFmtId="197" fontId="13" fillId="0" borderId="11" xfId="114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97" fontId="13" fillId="0" borderId="0" xfId="114" applyNumberFormat="1" applyFont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186" fontId="11" fillId="0" borderId="49" xfId="0" applyNumberFormat="1" applyFont="1" applyBorder="1" applyAlignment="1">
      <alignment horizontal="center" vertical="center" wrapText="1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50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33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33" borderId="54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12" fillId="33" borderId="0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49" fontId="115" fillId="0" borderId="26" xfId="0" applyNumberFormat="1" applyFont="1" applyFill="1" applyBorder="1" applyAlignment="1">
      <alignment horizontal="center" vertical="top" wrapText="1"/>
    </xf>
    <xf numFmtId="49" fontId="115" fillId="0" borderId="14" xfId="0" applyNumberFormat="1" applyFont="1" applyFill="1" applyBorder="1" applyAlignment="1">
      <alignment horizontal="center" vertical="top" wrapText="1"/>
    </xf>
    <xf numFmtId="0" fontId="110" fillId="0" borderId="11" xfId="0" applyFont="1" applyFill="1" applyBorder="1" applyAlignment="1">
      <alignment horizontal="center" vertical="center" wrapText="1"/>
    </xf>
    <xf numFmtId="0" fontId="130" fillId="0" borderId="43" xfId="0" applyFont="1" applyFill="1" applyBorder="1" applyAlignment="1">
      <alignment horizontal="center" vertical="top" wrapText="1"/>
    </xf>
    <xf numFmtId="0" fontId="130" fillId="0" borderId="34" xfId="0" applyFont="1" applyFill="1" applyBorder="1" applyAlignment="1">
      <alignment horizontal="center" vertical="top" wrapText="1"/>
    </xf>
    <xf numFmtId="0" fontId="110" fillId="0" borderId="43" xfId="0" applyFont="1" applyFill="1" applyBorder="1" applyAlignment="1">
      <alignment horizontal="center" vertical="top" wrapText="1"/>
    </xf>
    <xf numFmtId="0" fontId="110" fillId="0" borderId="35" xfId="0" applyFont="1" applyFill="1" applyBorder="1" applyAlignment="1">
      <alignment horizontal="center" vertical="top" wrapText="1"/>
    </xf>
    <xf numFmtId="0" fontId="110" fillId="0" borderId="34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10" fillId="0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12" fillId="0" borderId="0" xfId="0" applyFont="1" applyFill="1" applyAlignment="1">
      <alignment horizontal="left" vertical="center" wrapText="1"/>
    </xf>
    <xf numFmtId="49" fontId="115" fillId="0" borderId="17" xfId="0" applyNumberFormat="1" applyFont="1" applyFill="1" applyBorder="1" applyAlignment="1">
      <alignment horizontal="center" vertical="top" wrapText="1"/>
    </xf>
    <xf numFmtId="0" fontId="125" fillId="42" borderId="0" xfId="0" applyFont="1" applyFill="1" applyAlignment="1">
      <alignment horizontal="center" wrapText="1"/>
    </xf>
    <xf numFmtId="0" fontId="10" fillId="37" borderId="0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12" borderId="17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32" fillId="12" borderId="17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/>
    </xf>
    <xf numFmtId="0" fontId="32" fillId="12" borderId="17" xfId="0" applyFont="1" applyFill="1" applyBorder="1" applyAlignment="1">
      <alignment horizontal="center" vertical="center" wrapText="1"/>
    </xf>
    <xf numFmtId="0" fontId="32" fillId="12" borderId="14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wrapText="1"/>
    </xf>
    <xf numFmtId="0" fontId="15" fillId="12" borderId="25" xfId="0" applyFont="1" applyFill="1" applyBorder="1" applyAlignment="1">
      <alignment horizontal="center" wrapText="1"/>
    </xf>
    <xf numFmtId="0" fontId="15" fillId="12" borderId="13" xfId="0" applyFont="1" applyFill="1" applyBorder="1" applyAlignment="1">
      <alignment horizont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/>
    </xf>
    <xf numFmtId="0" fontId="15" fillId="33" borderId="57" xfId="0" applyFont="1" applyFill="1" applyBorder="1" applyAlignment="1">
      <alignment horizontal="center"/>
    </xf>
    <xf numFmtId="0" fontId="15" fillId="33" borderId="58" xfId="0" applyFont="1" applyFill="1" applyBorder="1" applyAlignment="1">
      <alignment horizontal="center"/>
    </xf>
    <xf numFmtId="0" fontId="15" fillId="33" borderId="59" xfId="0" applyFont="1" applyFill="1" applyBorder="1" applyAlignment="1">
      <alignment horizontal="center"/>
    </xf>
    <xf numFmtId="0" fontId="15" fillId="31" borderId="60" xfId="0" applyFont="1" applyFill="1" applyBorder="1" applyAlignment="1">
      <alignment horizontal="center"/>
    </xf>
    <xf numFmtId="0" fontId="15" fillId="31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wrapText="1"/>
    </xf>
    <xf numFmtId="0" fontId="10" fillId="33" borderId="57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4" fillId="0" borderId="62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5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18" fillId="33" borderId="55" xfId="0" applyFont="1" applyFill="1" applyBorder="1" applyAlignment="1">
      <alignment horizontal="center" wrapText="1"/>
    </xf>
    <xf numFmtId="0" fontId="118" fillId="33" borderId="42" xfId="0" applyFont="1" applyFill="1" applyBorder="1" applyAlignment="1">
      <alignment horizontal="center" wrapText="1"/>
    </xf>
    <xf numFmtId="0" fontId="118" fillId="33" borderId="0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7" fillId="33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8" fillId="0" borderId="0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44" borderId="17" xfId="0" applyFont="1" applyFill="1" applyBorder="1" applyAlignment="1">
      <alignment horizontal="center" wrapText="1"/>
    </xf>
    <xf numFmtId="0" fontId="15" fillId="44" borderId="14" xfId="0" applyFont="1" applyFill="1" applyBorder="1" applyAlignment="1">
      <alignment horizontal="center" wrapText="1"/>
    </xf>
  </cellXfs>
  <cellStyles count="10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Comma 2" xfId="34"/>
    <cellStyle name="Comma 2 2" xfId="35"/>
    <cellStyle name="Comma 2 3" xfId="36"/>
    <cellStyle name="Comma 2 4" xfId="37"/>
    <cellStyle name="Comma 3" xfId="38"/>
    <cellStyle name="Comma 3 2" xfId="39"/>
    <cellStyle name="Comma 3 2 2" xfId="40"/>
    <cellStyle name="Comma 3 3" xfId="41"/>
    <cellStyle name="Comma 4" xfId="42"/>
    <cellStyle name="Comma 5" xfId="43"/>
    <cellStyle name="Comma 6" xfId="44"/>
    <cellStyle name="Comma 6 2" xfId="45"/>
    <cellStyle name="Comma 6 2 2" xfId="46"/>
    <cellStyle name="Comma 6 3" xfId="47"/>
    <cellStyle name="Comma 7" xfId="48"/>
    <cellStyle name="Comma 7 2" xfId="49"/>
    <cellStyle name="Comma 7 2 2" xfId="50"/>
    <cellStyle name="Comma 7 3" xfId="51"/>
    <cellStyle name="Comma 8" xfId="52"/>
    <cellStyle name="Comma 9" xfId="53"/>
    <cellStyle name="Normal 10" xfId="54"/>
    <cellStyle name="Normal 11" xfId="55"/>
    <cellStyle name="Normal 12" xfId="56"/>
    <cellStyle name="Normal 13" xfId="57"/>
    <cellStyle name="Normal 2" xfId="58"/>
    <cellStyle name="Normal 2 2" xfId="59"/>
    <cellStyle name="Normal 2 3" xfId="60"/>
    <cellStyle name="Normal 2 3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6 2" xfId="68"/>
    <cellStyle name="Normal 6 2 2" xfId="69"/>
    <cellStyle name="Normal 6 3" xfId="70"/>
    <cellStyle name="Normal 7" xfId="71"/>
    <cellStyle name="Normal 8" xfId="72"/>
    <cellStyle name="Normal 8 2" xfId="73"/>
    <cellStyle name="Normal 9" xfId="74"/>
    <cellStyle name="Normal_Sheet1" xfId="75"/>
    <cellStyle name="Style 1" xfId="76"/>
    <cellStyle name="Style 1 2" xfId="77"/>
    <cellStyle name="Style 1 3" xfId="78"/>
    <cellStyle name="Style 1 4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 3" xfId="101"/>
    <cellStyle name="Обычный 4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Стиль 1 2" xfId="110"/>
    <cellStyle name="Стиль 1 2 2" xfId="111"/>
    <cellStyle name="Стиль 1 2 3" xfId="112"/>
    <cellStyle name="Текст предупреждения" xfId="113"/>
    <cellStyle name="Comma" xfId="114"/>
    <cellStyle name="Comma [0]" xfId="115"/>
    <cellStyle name="Финансовый 2" xfId="116"/>
    <cellStyle name="Финансовый 2 2" xfId="117"/>
    <cellStyle name="Финансовый 3" xfId="118"/>
    <cellStyle name="Финансовый 3 2" xfId="119"/>
    <cellStyle name="Финансовый 4" xfId="120"/>
    <cellStyle name="Хороший" xfId="12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3" width="7.28125" style="16" customWidth="1"/>
    <col min="4" max="4" width="9.140625" style="16" customWidth="1"/>
    <col min="5" max="5" width="12.28125" style="16" customWidth="1"/>
    <col min="6" max="6" width="45.140625" style="16" customWidth="1"/>
    <col min="7" max="11" width="12.8515625" style="15" customWidth="1"/>
    <col min="12" max="16384" width="9.140625" style="16" customWidth="1"/>
  </cols>
  <sheetData>
    <row r="1" spans="7:11" s="28" customFormat="1" ht="23.25" customHeight="1">
      <c r="G1" s="1"/>
      <c r="H1" s="2" t="s">
        <v>8</v>
      </c>
      <c r="I1" s="2"/>
      <c r="J1" s="2"/>
      <c r="K1" s="2"/>
    </row>
    <row r="2" spans="7:11" s="28" customFormat="1" ht="13.5">
      <c r="G2" s="2"/>
      <c r="H2" s="2"/>
      <c r="I2" s="2" t="s">
        <v>9</v>
      </c>
      <c r="J2" s="2"/>
      <c r="K2" s="2"/>
    </row>
    <row r="3" spans="1:11" s="28" customFormat="1" ht="27" customHeight="1" thickBot="1">
      <c r="A3" s="690" t="s">
        <v>609</v>
      </c>
      <c r="B3" s="690"/>
      <c r="C3" s="690"/>
      <c r="D3" s="690"/>
      <c r="E3" s="690"/>
      <c r="F3" s="690"/>
      <c r="G3" s="690"/>
      <c r="H3" s="2"/>
      <c r="I3" s="2"/>
      <c r="J3" s="2"/>
      <c r="K3" s="2"/>
    </row>
    <row r="4" spans="1:11" s="28" customFormat="1" ht="14.25">
      <c r="A4" s="687" t="s">
        <v>10</v>
      </c>
      <c r="B4" s="687"/>
      <c r="C4" s="687"/>
      <c r="D4" s="687"/>
      <c r="G4" s="20"/>
      <c r="H4" s="2"/>
      <c r="I4" s="2"/>
      <c r="J4" s="2"/>
      <c r="K4" s="2"/>
    </row>
    <row r="5" spans="7:11" s="28" customFormat="1" ht="13.5">
      <c r="G5" s="8"/>
      <c r="H5" s="8"/>
      <c r="I5" s="8"/>
      <c r="J5" s="8"/>
      <c r="K5" s="8"/>
    </row>
    <row r="6" spans="7:11" s="28" customFormat="1" ht="13.5" customHeight="1">
      <c r="G6" s="7"/>
      <c r="H6" s="8"/>
      <c r="I6" s="334" t="s">
        <v>263</v>
      </c>
      <c r="J6" s="334" t="s">
        <v>263</v>
      </c>
      <c r="K6" s="334" t="s">
        <v>263</v>
      </c>
    </row>
    <row r="7" spans="1:12" s="183" customFormat="1" ht="13.5" customHeight="1">
      <c r="A7" s="693" t="s">
        <v>230</v>
      </c>
      <c r="B7" s="693" t="s">
        <v>231</v>
      </c>
      <c r="C7" s="693" t="s">
        <v>232</v>
      </c>
      <c r="D7" s="693" t="s">
        <v>233</v>
      </c>
      <c r="E7" s="693"/>
      <c r="F7" s="693" t="s">
        <v>256</v>
      </c>
      <c r="G7" s="688" t="s">
        <v>606</v>
      </c>
      <c r="H7" s="688" t="s">
        <v>607</v>
      </c>
      <c r="I7" s="688" t="s">
        <v>288</v>
      </c>
      <c r="J7" s="688" t="s">
        <v>566</v>
      </c>
      <c r="K7" s="688" t="s">
        <v>608</v>
      </c>
      <c r="L7" s="182"/>
    </row>
    <row r="8" spans="1:12" s="183" customFormat="1" ht="26.25" customHeight="1">
      <c r="A8" s="693"/>
      <c r="B8" s="693"/>
      <c r="C8" s="693"/>
      <c r="D8" s="291" t="s">
        <v>234</v>
      </c>
      <c r="E8" s="291" t="s">
        <v>235</v>
      </c>
      <c r="F8" s="693"/>
      <c r="G8" s="689"/>
      <c r="H8" s="689"/>
      <c r="I8" s="689"/>
      <c r="J8" s="689"/>
      <c r="K8" s="689"/>
      <c r="L8" s="182"/>
    </row>
    <row r="9" spans="1:12" s="183" customFormat="1" ht="12.75">
      <c r="A9" s="315">
        <v>1</v>
      </c>
      <c r="B9" s="315">
        <v>2</v>
      </c>
      <c r="C9" s="315">
        <v>3</v>
      </c>
      <c r="D9" s="315">
        <v>4</v>
      </c>
      <c r="E9" s="293">
        <v>5</v>
      </c>
      <c r="F9" s="293">
        <v>6</v>
      </c>
      <c r="G9" s="293">
        <v>7</v>
      </c>
      <c r="H9" s="293">
        <v>8</v>
      </c>
      <c r="I9" s="293">
        <v>9</v>
      </c>
      <c r="J9" s="293">
        <v>10</v>
      </c>
      <c r="K9" s="293">
        <v>11</v>
      </c>
      <c r="L9" s="182"/>
    </row>
    <row r="10" spans="1:11" ht="16.5">
      <c r="A10" s="340"/>
      <c r="B10" s="340"/>
      <c r="C10" s="340"/>
      <c r="D10" s="340"/>
      <c r="E10" s="339"/>
      <c r="F10" s="292" t="s">
        <v>236</v>
      </c>
      <c r="G10" s="22"/>
      <c r="H10" s="22"/>
      <c r="I10" s="22"/>
      <c r="J10" s="22"/>
      <c r="K10" s="22"/>
    </row>
    <row r="11" spans="1:11" ht="24.75" customHeight="1">
      <c r="A11" s="691"/>
      <c r="B11" s="691"/>
      <c r="C11" s="691"/>
      <c r="D11" s="691"/>
      <c r="E11" s="696"/>
      <c r="F11" s="300" t="s">
        <v>238</v>
      </c>
      <c r="G11" s="14"/>
      <c r="H11" s="14"/>
      <c r="I11" s="14"/>
      <c r="J11" s="14"/>
      <c r="K11" s="14"/>
    </row>
    <row r="12" spans="1:11" ht="31.5" customHeight="1">
      <c r="A12" s="691"/>
      <c r="B12" s="691"/>
      <c r="C12" s="691"/>
      <c r="D12" s="691"/>
      <c r="E12" s="697"/>
      <c r="F12" s="193" t="s">
        <v>262</v>
      </c>
      <c r="G12" s="14">
        <f>+G15+G17</f>
        <v>714372.7</v>
      </c>
      <c r="H12" s="14">
        <f>+H15+H17</f>
        <v>756946.3</v>
      </c>
      <c r="I12" s="14">
        <f>+I15+I17</f>
        <v>590733</v>
      </c>
      <c r="J12" s="14">
        <f>+J15+J17</f>
        <v>585143</v>
      </c>
      <c r="K12" s="14">
        <f>+K15+K17</f>
        <v>616243</v>
      </c>
    </row>
    <row r="13" spans="1:11" ht="24" customHeight="1">
      <c r="A13" s="691"/>
      <c r="B13" s="691"/>
      <c r="C13" s="691"/>
      <c r="D13" s="691"/>
      <c r="E13" s="698"/>
      <c r="F13" s="301" t="s">
        <v>236</v>
      </c>
      <c r="G13" s="14"/>
      <c r="H13" s="14"/>
      <c r="I13" s="14"/>
      <c r="J13" s="14"/>
      <c r="K13" s="14"/>
    </row>
    <row r="14" spans="1:11" ht="31.5" customHeight="1">
      <c r="A14" s="691"/>
      <c r="B14" s="691"/>
      <c r="C14" s="691"/>
      <c r="D14" s="691"/>
      <c r="E14" s="694" t="s">
        <v>267</v>
      </c>
      <c r="F14" s="300" t="s">
        <v>239</v>
      </c>
      <c r="G14" s="14"/>
      <c r="H14" s="14"/>
      <c r="I14" s="14"/>
      <c r="J14" s="14"/>
      <c r="K14" s="14"/>
    </row>
    <row r="15" spans="1:11" ht="31.5" customHeight="1">
      <c r="A15" s="691"/>
      <c r="B15" s="691"/>
      <c r="C15" s="691"/>
      <c r="D15" s="691"/>
      <c r="E15" s="695"/>
      <c r="F15" s="193" t="s">
        <v>264</v>
      </c>
      <c r="G15" s="14">
        <f>+'2-ԸՆԴԱՄԵՆԸ ԾԱԽՍԵՐ'!E16</f>
        <v>714372.7</v>
      </c>
      <c r="H15" s="14">
        <f>+'2-ԸՆԴԱՄԵՆԸ ԾԱԽՍԵՐ'!F16</f>
        <v>756946.3</v>
      </c>
      <c r="I15" s="14">
        <f>+'2-ԸՆԴԱՄԵՆԸ ԾԱԽՍԵՐ'!G16</f>
        <v>581043</v>
      </c>
      <c r="J15" s="14">
        <f>+'2-ԸՆԴԱՄԵՆԸ ԾԱԽՍԵՐ'!K16</f>
        <v>585143</v>
      </c>
      <c r="K15" s="14">
        <f>+'2-ԸՆԴԱՄԵՆԸ ԾԱԽՍԵՐ'!L16</f>
        <v>616243</v>
      </c>
    </row>
    <row r="16" spans="1:11" ht="31.5" customHeight="1">
      <c r="A16" s="691"/>
      <c r="B16" s="691"/>
      <c r="C16" s="691"/>
      <c r="D16" s="691"/>
      <c r="E16" s="694" t="s">
        <v>266</v>
      </c>
      <c r="F16" s="300" t="s">
        <v>237</v>
      </c>
      <c r="G16" s="14"/>
      <c r="H16" s="14"/>
      <c r="I16" s="14"/>
      <c r="J16" s="14"/>
      <c r="K16" s="14"/>
    </row>
    <row r="17" spans="1:11" ht="47.25" customHeight="1">
      <c r="A17" s="692"/>
      <c r="B17" s="692"/>
      <c r="C17" s="692"/>
      <c r="D17" s="692"/>
      <c r="E17" s="695"/>
      <c r="F17" s="193" t="s">
        <v>265</v>
      </c>
      <c r="G17" s="14">
        <f>+'2-ԸՆԴԱՄԵՆԸ ԾԱԽՍԵՐ'!E88</f>
        <v>0</v>
      </c>
      <c r="H17" s="14">
        <f>+'2-ԸՆԴԱՄԵՆԸ ԾԱԽՍԵՐ'!F88</f>
        <v>0</v>
      </c>
      <c r="I17" s="14">
        <f>+'2-ԸՆԴԱՄԵՆԸ ԾԱԽՍԵՐ'!G88</f>
        <v>9690</v>
      </c>
      <c r="J17" s="14">
        <f>+'2-ԸՆԴԱՄԵՆԸ ԾԱԽՍԵՐ'!K88</f>
        <v>0</v>
      </c>
      <c r="K17" s="14">
        <f>+'2-ԸՆԴԱՄԵՆԸ ԾԱԽՍԵՐ'!L88</f>
        <v>0</v>
      </c>
    </row>
  </sheetData>
  <sheetProtection/>
  <mergeCells count="19">
    <mergeCell ref="A7:A8"/>
    <mergeCell ref="F7:F8"/>
    <mergeCell ref="H7:H8"/>
    <mergeCell ref="C7:C8"/>
    <mergeCell ref="E16:E17"/>
    <mergeCell ref="E14:E15"/>
    <mergeCell ref="D7:E7"/>
    <mergeCell ref="E11:E13"/>
    <mergeCell ref="B7:B8"/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27"/>
  <sheetViews>
    <sheetView zoomScalePageLayoutView="0" workbookViewId="0" topLeftCell="A4">
      <pane xSplit="1" ySplit="10" topLeftCell="C120" activePane="bottomRight" state="frozen"/>
      <selection pane="topLeft" activeCell="A4" sqref="A4"/>
      <selection pane="topRight" activeCell="B4" sqref="B4"/>
      <selection pane="bottomLeft" activeCell="A14" sqref="A14"/>
      <selection pane="bottomRight" activeCell="P64" sqref="P64"/>
    </sheetView>
  </sheetViews>
  <sheetFormatPr defaultColWidth="9.140625" defaultRowHeight="12.75"/>
  <cols>
    <col min="1" max="1" width="7.57421875" style="4" customWidth="1"/>
    <col min="2" max="3" width="7.7109375" style="4" customWidth="1"/>
    <col min="4" max="4" width="59.57421875" style="4" customWidth="1"/>
    <col min="5" max="5" width="12.57421875" style="4" customWidth="1"/>
    <col min="6" max="6" width="8.00390625" style="4" customWidth="1"/>
    <col min="7" max="7" width="8.57421875" style="4" bestFit="1" customWidth="1"/>
    <col min="8" max="8" width="8.57421875" style="4" customWidth="1"/>
    <col min="9" max="9" width="12.421875" style="4" bestFit="1" customWidth="1"/>
    <col min="10" max="10" width="11.140625" style="4" customWidth="1"/>
    <col min="11" max="11" width="14.8515625" style="4" customWidth="1"/>
    <col min="12" max="12" width="9.57421875" style="4" customWidth="1"/>
    <col min="13" max="13" width="11.8515625" style="4" customWidth="1"/>
    <col min="14" max="14" width="11.00390625" style="4" customWidth="1"/>
    <col min="15" max="15" width="9.57421875" style="4" customWidth="1"/>
    <col min="16" max="16" width="11.8515625" style="4" customWidth="1"/>
    <col min="17" max="17" width="11.00390625" style="4" customWidth="1"/>
    <col min="18" max="16384" width="9.140625" style="4" customWidth="1"/>
  </cols>
  <sheetData>
    <row r="1" spans="1:252" ht="13.5">
      <c r="A1" s="28"/>
      <c r="B1" s="28"/>
      <c r="C1" s="214"/>
      <c r="D1" s="2"/>
      <c r="E1" s="2"/>
      <c r="F1" s="2"/>
      <c r="G1" s="72"/>
      <c r="H1" s="72"/>
      <c r="I1" s="2"/>
      <c r="J1" s="27"/>
      <c r="K1" s="85" t="s">
        <v>112</v>
      </c>
      <c r="L1" s="2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</row>
    <row r="2" spans="1:252" ht="13.5">
      <c r="A2" s="28"/>
      <c r="B2" s="28"/>
      <c r="C2" s="214"/>
      <c r="D2" s="2"/>
      <c r="E2" s="2"/>
      <c r="F2" s="2"/>
      <c r="G2" s="72"/>
      <c r="H2" s="72"/>
      <c r="I2" s="2"/>
      <c r="J2" s="706" t="s">
        <v>9</v>
      </c>
      <c r="K2" s="706"/>
      <c r="L2" s="706"/>
      <c r="M2" s="27"/>
      <c r="N2" s="27"/>
      <c r="O2" s="27"/>
      <c r="P2" s="27"/>
      <c r="Q2" s="27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</row>
    <row r="3" spans="1:252" ht="14.25" thickBot="1">
      <c r="A3" s="28"/>
      <c r="B3" s="28"/>
      <c r="C3" s="27"/>
      <c r="D3" s="257" t="s">
        <v>340</v>
      </c>
      <c r="E3" s="19"/>
      <c r="F3" s="117"/>
      <c r="G3" s="117"/>
      <c r="H3" s="117"/>
      <c r="I3" s="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</row>
    <row r="4" spans="1:252" ht="13.5">
      <c r="A4" s="121"/>
      <c r="B4" s="121"/>
      <c r="C4" s="27"/>
      <c r="D4" s="687" t="s">
        <v>817</v>
      </c>
      <c r="E4" s="687"/>
      <c r="F4" s="687"/>
      <c r="G4" s="687"/>
      <c r="H4" s="687"/>
      <c r="I4" s="120"/>
      <c r="J4" s="37"/>
      <c r="K4" s="120"/>
      <c r="L4" s="120"/>
      <c r="M4" s="120"/>
      <c r="N4" s="120"/>
      <c r="O4" s="120"/>
      <c r="P4" s="120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</row>
    <row r="5" spans="1:252" ht="14.25">
      <c r="A5" s="123"/>
      <c r="B5" s="123"/>
      <c r="C5" s="758" t="s">
        <v>101</v>
      </c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120"/>
      <c r="O5" s="123"/>
      <c r="P5" s="123"/>
      <c r="Q5" s="120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</row>
    <row r="6" spans="1:252" ht="13.5">
      <c r="A6" s="64"/>
      <c r="B6" s="64"/>
      <c r="C6" s="64"/>
      <c r="D6" s="8"/>
      <c r="E6" s="8"/>
      <c r="F6" s="8"/>
      <c r="G6" s="122"/>
      <c r="H6" s="122"/>
      <c r="I6" s="122"/>
      <c r="J6" s="122"/>
      <c r="K6" s="122"/>
      <c r="L6" s="122"/>
      <c r="M6" s="122"/>
      <c r="N6" s="120"/>
      <c r="O6" s="122"/>
      <c r="P6" s="122"/>
      <c r="Q6" s="120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</row>
    <row r="7" spans="1:252" ht="14.25">
      <c r="A7" s="123"/>
      <c r="B7" s="123"/>
      <c r="C7" s="758" t="s">
        <v>181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120"/>
      <c r="O7" s="123"/>
      <c r="P7" s="123"/>
      <c r="Q7" s="120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</row>
    <row r="8" spans="1:252" ht="31.5" customHeight="1">
      <c r="A8" s="123"/>
      <c r="B8" s="123"/>
      <c r="C8" s="761" t="s">
        <v>337</v>
      </c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120"/>
      <c r="O8" s="123"/>
      <c r="P8" s="123"/>
      <c r="Q8" s="120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</row>
    <row r="9" spans="1:252" ht="14.25">
      <c r="A9" s="123"/>
      <c r="B9" s="123"/>
      <c r="C9" s="123"/>
      <c r="D9" s="35"/>
      <c r="E9" s="35"/>
      <c r="F9" s="35"/>
      <c r="G9" s="124"/>
      <c r="H9" s="124"/>
      <c r="I9" s="124"/>
      <c r="J9" s="124"/>
      <c r="K9" s="124"/>
      <c r="L9" s="124"/>
      <c r="M9" s="124"/>
      <c r="N9" s="123"/>
      <c r="O9" s="124"/>
      <c r="P9" s="124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</row>
    <row r="10" spans="1:252" ht="15" thickBot="1">
      <c r="A10" s="123"/>
      <c r="B10" s="123"/>
      <c r="C10" s="125"/>
      <c r="D10" s="35"/>
      <c r="E10" s="35"/>
      <c r="F10" s="35"/>
      <c r="G10" s="124"/>
      <c r="H10" s="124"/>
      <c r="I10" s="124"/>
      <c r="J10" s="124"/>
      <c r="K10" s="124"/>
      <c r="L10" s="124"/>
      <c r="M10" s="124"/>
      <c r="N10" s="123"/>
      <c r="O10" s="124"/>
      <c r="P10" s="124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</row>
    <row r="11" spans="1:252" ht="41.25" thickBot="1">
      <c r="A11" s="391"/>
      <c r="B11" s="391"/>
      <c r="C11" s="391"/>
      <c r="D11" s="393"/>
      <c r="E11" s="394" t="s">
        <v>323</v>
      </c>
      <c r="F11" s="133"/>
      <c r="G11" s="759" t="s">
        <v>338</v>
      </c>
      <c r="H11" s="759"/>
      <c r="I11" s="759"/>
      <c r="J11" s="759"/>
      <c r="K11" s="760"/>
      <c r="L11" s="755" t="s">
        <v>670</v>
      </c>
      <c r="M11" s="756"/>
      <c r="N11" s="757"/>
      <c r="O11" s="755" t="s">
        <v>612</v>
      </c>
      <c r="P11" s="756"/>
      <c r="Q11" s="757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</row>
    <row r="12" spans="1:252" ht="67.5">
      <c r="A12" s="134" t="s">
        <v>320</v>
      </c>
      <c r="B12" s="134" t="s">
        <v>321</v>
      </c>
      <c r="C12" s="134" t="s">
        <v>322</v>
      </c>
      <c r="D12" s="392"/>
      <c r="E12" s="134" t="s">
        <v>324</v>
      </c>
      <c r="F12" s="134" t="s">
        <v>118</v>
      </c>
      <c r="G12" s="135" t="s">
        <v>113</v>
      </c>
      <c r="H12" s="136" t="s">
        <v>119</v>
      </c>
      <c r="I12" s="136" t="s">
        <v>120</v>
      </c>
      <c r="J12" s="136" t="s">
        <v>336</v>
      </c>
      <c r="K12" s="136" t="s">
        <v>335</v>
      </c>
      <c r="L12" s="136" t="s">
        <v>113</v>
      </c>
      <c r="M12" s="136" t="s">
        <v>114</v>
      </c>
      <c r="N12" s="136" t="s">
        <v>115</v>
      </c>
      <c r="O12" s="136" t="s">
        <v>113</v>
      </c>
      <c r="P12" s="136" t="s">
        <v>114</v>
      </c>
      <c r="Q12" s="136" t="s">
        <v>115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</row>
    <row r="13" spans="1:252" ht="13.5" customHeight="1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11</v>
      </c>
      <c r="K13" s="90">
        <v>12</v>
      </c>
      <c r="L13" s="90">
        <v>13</v>
      </c>
      <c r="M13" s="90">
        <v>14</v>
      </c>
      <c r="N13" s="90">
        <v>15</v>
      </c>
      <c r="O13" s="90">
        <v>16</v>
      </c>
      <c r="P13" s="90">
        <v>17</v>
      </c>
      <c r="Q13" s="90">
        <v>18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</row>
    <row r="14" spans="3:17" ht="20.25" customHeight="1">
      <c r="C14" s="130"/>
      <c r="D14" s="395"/>
      <c r="E14" s="395"/>
      <c r="F14" s="365"/>
      <c r="G14" s="365"/>
      <c r="H14" s="365"/>
      <c r="I14" s="365"/>
      <c r="J14" s="402">
        <v>2023</v>
      </c>
      <c r="K14" s="366"/>
      <c r="L14" s="366"/>
      <c r="M14" s="366"/>
      <c r="N14" s="366"/>
      <c r="O14" s="366"/>
      <c r="P14" s="366"/>
      <c r="Q14" s="366"/>
    </row>
    <row r="15" spans="1:17" ht="33">
      <c r="A15" s="382">
        <v>6</v>
      </c>
      <c r="B15" s="383"/>
      <c r="C15" s="384"/>
      <c r="D15" s="385" t="s">
        <v>325</v>
      </c>
      <c r="E15" s="386"/>
      <c r="F15" s="387"/>
      <c r="G15" s="400">
        <f>+G17+G34+G64</f>
        <v>335</v>
      </c>
      <c r="H15" s="388"/>
      <c r="I15" s="400">
        <f>+I17+I34+I64</f>
        <v>25116.890000000003</v>
      </c>
      <c r="J15" s="388"/>
      <c r="K15" s="388"/>
      <c r="L15" s="400">
        <f>+L17+L34+L64</f>
        <v>0</v>
      </c>
      <c r="M15" s="388"/>
      <c r="N15" s="400">
        <f>+N17+N34+N64</f>
        <v>0</v>
      </c>
      <c r="O15" s="400"/>
      <c r="P15" s="400"/>
      <c r="Q15" s="400">
        <f>+Q17+Q34+Q64</f>
        <v>9690</v>
      </c>
    </row>
    <row r="16" spans="1:17" ht="28.5" customHeight="1">
      <c r="A16" s="373"/>
      <c r="B16" s="374">
        <v>61</v>
      </c>
      <c r="C16" s="375"/>
      <c r="D16" s="377" t="s">
        <v>330</v>
      </c>
      <c r="E16" s="378"/>
      <c r="F16" s="132"/>
      <c r="G16" s="65"/>
      <c r="H16" s="65"/>
      <c r="I16" s="65"/>
      <c r="J16" s="65"/>
      <c r="K16" s="65"/>
      <c r="L16" s="65"/>
      <c r="M16" s="65"/>
      <c r="N16" s="49"/>
      <c r="O16" s="65"/>
      <c r="P16" s="65"/>
      <c r="Q16" s="49"/>
    </row>
    <row r="17" spans="1:17" ht="82.5">
      <c r="A17" s="376"/>
      <c r="B17" s="376"/>
      <c r="C17" s="379">
        <v>610</v>
      </c>
      <c r="D17" s="380" t="s">
        <v>326</v>
      </c>
      <c r="E17" s="381">
        <v>5</v>
      </c>
      <c r="F17" s="65"/>
      <c r="G17" s="367">
        <f>+G18+G30</f>
        <v>192</v>
      </c>
      <c r="H17" s="65"/>
      <c r="I17" s="367">
        <f>+I18+I30</f>
        <v>18003.4</v>
      </c>
      <c r="J17" s="401">
        <v>20</v>
      </c>
      <c r="K17" s="65"/>
      <c r="L17" s="367">
        <f>+L18+L30</f>
        <v>0</v>
      </c>
      <c r="M17" s="65"/>
      <c r="N17" s="367">
        <f>+N18+N30</f>
        <v>0</v>
      </c>
      <c r="O17" s="367">
        <f>+O18+O30</f>
        <v>24</v>
      </c>
      <c r="P17" s="65"/>
      <c r="Q17" s="367">
        <f>+Q18+Q30</f>
        <v>6000</v>
      </c>
    </row>
    <row r="18" spans="1:17" ht="28.5">
      <c r="A18" s="371"/>
      <c r="B18" s="371"/>
      <c r="C18" s="368">
        <v>1</v>
      </c>
      <c r="D18" s="369" t="s">
        <v>316</v>
      </c>
      <c r="E18" s="390"/>
      <c r="F18" s="370"/>
      <c r="G18" s="372">
        <f>SUM(G19:G29)</f>
        <v>192</v>
      </c>
      <c r="H18" s="371"/>
      <c r="I18" s="372">
        <f>SUM(I19:I29)</f>
        <v>18003.4</v>
      </c>
      <c r="J18" s="371"/>
      <c r="K18" s="371"/>
      <c r="L18" s="372">
        <f>SUM(L26:L29)</f>
        <v>0</v>
      </c>
      <c r="M18" s="371"/>
      <c r="N18" s="372">
        <f>SUM(N26:N29)</f>
        <v>0</v>
      </c>
      <c r="O18" s="372">
        <f>SUM(O26:O29)</f>
        <v>24</v>
      </c>
      <c r="P18" s="371"/>
      <c r="Q18" s="372">
        <f>SUM(Q26:Q29)</f>
        <v>6000</v>
      </c>
    </row>
    <row r="19" spans="1:17" s="406" customFormat="1" ht="14.25">
      <c r="A19" s="515"/>
      <c r="B19" s="515"/>
      <c r="C19" s="516"/>
      <c r="D19" s="444" t="s">
        <v>486</v>
      </c>
      <c r="E19" s="517"/>
      <c r="F19" s="479"/>
      <c r="G19" s="444">
        <v>75</v>
      </c>
      <c r="H19" s="444">
        <v>2011</v>
      </c>
      <c r="I19" s="444">
        <v>1796.25</v>
      </c>
      <c r="J19" s="444">
        <f aca="true" t="shared" si="0" ref="J19:J25">IF(($J$14-H19)*J$17&gt;100,100,($J$14-H19)*J$17)</f>
        <v>100</v>
      </c>
      <c r="K19" s="444">
        <f>IF(J19=100,0,I19-I19*J19%)</f>
        <v>0</v>
      </c>
      <c r="L19" s="417"/>
      <c r="M19" s="444"/>
      <c r="N19" s="417"/>
      <c r="O19" s="417"/>
      <c r="P19" s="444"/>
      <c r="Q19" s="417"/>
    </row>
    <row r="20" spans="1:17" s="406" customFormat="1" ht="14.25">
      <c r="A20" s="515"/>
      <c r="B20" s="515"/>
      <c r="C20" s="516"/>
      <c r="D20" s="444" t="s">
        <v>487</v>
      </c>
      <c r="E20" s="517"/>
      <c r="F20" s="479"/>
      <c r="G20" s="444">
        <v>20</v>
      </c>
      <c r="H20" s="444">
        <v>2005</v>
      </c>
      <c r="I20" s="444">
        <v>102</v>
      </c>
      <c r="J20" s="444">
        <f t="shared" si="0"/>
        <v>100</v>
      </c>
      <c r="K20" s="444">
        <f aca="true" t="shared" si="1" ref="K20:K28">IF(J20=100,0,I20-I20*J20%)</f>
        <v>0</v>
      </c>
      <c r="L20" s="417"/>
      <c r="M20" s="444"/>
      <c r="N20" s="417"/>
      <c r="O20" s="417"/>
      <c r="P20" s="444"/>
      <c r="Q20" s="417"/>
    </row>
    <row r="21" spans="1:17" s="406" customFormat="1" ht="14.25">
      <c r="A21" s="515"/>
      <c r="B21" s="515"/>
      <c r="C21" s="516"/>
      <c r="D21" s="444" t="s">
        <v>488</v>
      </c>
      <c r="E21" s="517"/>
      <c r="F21" s="479"/>
      <c r="G21" s="444">
        <v>10</v>
      </c>
      <c r="H21" s="444">
        <v>2015</v>
      </c>
      <c r="I21" s="444">
        <v>992</v>
      </c>
      <c r="J21" s="444">
        <f t="shared" si="0"/>
        <v>100</v>
      </c>
      <c r="K21" s="444">
        <f t="shared" si="1"/>
        <v>0</v>
      </c>
      <c r="L21" s="417"/>
      <c r="M21" s="444"/>
      <c r="N21" s="417"/>
      <c r="O21" s="417"/>
      <c r="P21" s="444"/>
      <c r="Q21" s="417"/>
    </row>
    <row r="22" spans="1:17" s="406" customFormat="1" ht="14.25">
      <c r="A22" s="515"/>
      <c r="B22" s="515"/>
      <c r="C22" s="516"/>
      <c r="D22" s="444" t="s">
        <v>489</v>
      </c>
      <c r="E22" s="517"/>
      <c r="F22" s="479"/>
      <c r="G22" s="444">
        <v>1</v>
      </c>
      <c r="H22" s="444">
        <v>2013</v>
      </c>
      <c r="I22" s="444">
        <v>50.25</v>
      </c>
      <c r="J22" s="444">
        <f t="shared" si="0"/>
        <v>100</v>
      </c>
      <c r="K22" s="444">
        <f t="shared" si="1"/>
        <v>0</v>
      </c>
      <c r="L22" s="417"/>
      <c r="M22" s="444"/>
      <c r="N22" s="417"/>
      <c r="O22" s="417"/>
      <c r="P22" s="444"/>
      <c r="Q22" s="417"/>
    </row>
    <row r="23" spans="1:17" s="406" customFormat="1" ht="19.5" customHeight="1">
      <c r="A23" s="515"/>
      <c r="B23" s="515"/>
      <c r="C23" s="516"/>
      <c r="D23" s="444" t="s">
        <v>490</v>
      </c>
      <c r="E23" s="517"/>
      <c r="F23" s="479"/>
      <c r="G23" s="444">
        <v>1</v>
      </c>
      <c r="H23" s="444">
        <v>2013</v>
      </c>
      <c r="I23" s="444">
        <v>37.8</v>
      </c>
      <c r="J23" s="444">
        <f t="shared" si="0"/>
        <v>100</v>
      </c>
      <c r="K23" s="444">
        <f t="shared" si="1"/>
        <v>0</v>
      </c>
      <c r="L23" s="417"/>
      <c r="M23" s="444"/>
      <c r="N23" s="417"/>
      <c r="O23" s="417"/>
      <c r="P23" s="444"/>
      <c r="Q23" s="417"/>
    </row>
    <row r="24" spans="1:17" s="406" customFormat="1" ht="14.25">
      <c r="A24" s="515"/>
      <c r="B24" s="515"/>
      <c r="C24" s="516"/>
      <c r="D24" s="519" t="s">
        <v>491</v>
      </c>
      <c r="E24" s="517"/>
      <c r="F24" s="479"/>
      <c r="G24" s="444">
        <v>1</v>
      </c>
      <c r="H24" s="444">
        <v>2013</v>
      </c>
      <c r="I24" s="444">
        <v>37.8</v>
      </c>
      <c r="J24" s="444">
        <f t="shared" si="0"/>
        <v>100</v>
      </c>
      <c r="K24" s="444">
        <f t="shared" si="1"/>
        <v>0</v>
      </c>
      <c r="L24" s="417"/>
      <c r="M24" s="444"/>
      <c r="N24" s="417"/>
      <c r="O24" s="417"/>
      <c r="P24" s="444"/>
      <c r="Q24" s="417"/>
    </row>
    <row r="25" spans="1:17" s="406" customFormat="1" ht="14.25">
      <c r="A25" s="515"/>
      <c r="B25" s="515"/>
      <c r="C25" s="516"/>
      <c r="D25" s="519" t="s">
        <v>492</v>
      </c>
      <c r="E25" s="517"/>
      <c r="F25" s="479"/>
      <c r="G25" s="444">
        <v>1</v>
      </c>
      <c r="H25" s="444">
        <v>2013</v>
      </c>
      <c r="I25" s="444">
        <v>93.3</v>
      </c>
      <c r="J25" s="444">
        <f t="shared" si="0"/>
        <v>100</v>
      </c>
      <c r="K25" s="444">
        <f t="shared" si="1"/>
        <v>0</v>
      </c>
      <c r="L25" s="417"/>
      <c r="M25" s="444"/>
      <c r="N25" s="417"/>
      <c r="O25" s="417"/>
      <c r="P25" s="444"/>
      <c r="Q25" s="417"/>
    </row>
    <row r="26" spans="3:17" s="406" customFormat="1" ht="13.5">
      <c r="C26" s="516"/>
      <c r="D26" s="519" t="s">
        <v>490</v>
      </c>
      <c r="E26" s="444"/>
      <c r="F26" s="444"/>
      <c r="G26" s="444">
        <v>6</v>
      </c>
      <c r="H26" s="444">
        <v>2013</v>
      </c>
      <c r="I26" s="444">
        <v>519.9</v>
      </c>
      <c r="J26" s="444">
        <f>IF(($J$14-H26)*J$17&gt;100,100,($J$14-H26)*J$17)</f>
        <v>100</v>
      </c>
      <c r="K26" s="444">
        <f t="shared" si="1"/>
        <v>0</v>
      </c>
      <c r="L26" s="444"/>
      <c r="M26" s="444"/>
      <c r="N26" s="414">
        <f>+L26*M26</f>
        <v>0</v>
      </c>
      <c r="O26" s="444"/>
      <c r="P26" s="444"/>
      <c r="Q26" s="414">
        <f>+O26*P26</f>
        <v>0</v>
      </c>
    </row>
    <row r="27" spans="3:17" s="406" customFormat="1" ht="13.5">
      <c r="C27" s="516"/>
      <c r="D27" s="518" t="s">
        <v>510</v>
      </c>
      <c r="E27" s="444"/>
      <c r="F27" s="444"/>
      <c r="G27" s="65">
        <v>26</v>
      </c>
      <c r="H27" s="65">
        <v>2019</v>
      </c>
      <c r="I27" s="65">
        <v>4394</v>
      </c>
      <c r="J27" s="444">
        <f>IF(($J$14-H27)*J$17&gt;100,100,($J$14-H27)*J$17)</f>
        <v>80</v>
      </c>
      <c r="K27" s="444"/>
      <c r="L27" s="444"/>
      <c r="M27" s="444"/>
      <c r="N27" s="414"/>
      <c r="O27" s="444"/>
      <c r="P27" s="444"/>
      <c r="Q27" s="414"/>
    </row>
    <row r="28" spans="3:17" s="406" customFormat="1" ht="13.5">
      <c r="C28" s="516"/>
      <c r="D28" s="519" t="s">
        <v>493</v>
      </c>
      <c r="E28" s="444"/>
      <c r="F28" s="444"/>
      <c r="G28" s="444">
        <v>1</v>
      </c>
      <c r="H28" s="444">
        <v>2005</v>
      </c>
      <c r="I28" s="444">
        <v>5.1</v>
      </c>
      <c r="J28" s="444">
        <f>IF(($J$14-H28)*J$17&gt;100,100,($J$14-H28)*J$17)</f>
        <v>100</v>
      </c>
      <c r="K28" s="444">
        <f t="shared" si="1"/>
        <v>0</v>
      </c>
      <c r="L28" s="444"/>
      <c r="M28" s="444"/>
      <c r="N28" s="414">
        <f>+L28*M28</f>
        <v>0</v>
      </c>
      <c r="O28" s="444">
        <v>24</v>
      </c>
      <c r="P28" s="444">
        <v>250</v>
      </c>
      <c r="Q28" s="414">
        <f>+O28*P28</f>
        <v>6000</v>
      </c>
    </row>
    <row r="29" spans="3:17" s="406" customFormat="1" ht="13.5">
      <c r="C29" s="516"/>
      <c r="D29" s="519" t="s">
        <v>494</v>
      </c>
      <c r="E29" s="444"/>
      <c r="F29" s="444"/>
      <c r="G29" s="444">
        <v>50</v>
      </c>
      <c r="H29" s="444">
        <v>2020</v>
      </c>
      <c r="I29" s="444">
        <v>9975</v>
      </c>
      <c r="J29" s="444">
        <f>IF(($J$14-H29)*J$17&gt;100,100,($J$14-H29)*J$17)</f>
        <v>60</v>
      </c>
      <c r="K29" s="444">
        <f>IF(J29=100,0,I29-I29*J29%)</f>
        <v>3990</v>
      </c>
      <c r="L29" s="444"/>
      <c r="M29" s="444"/>
      <c r="N29" s="414">
        <f>+L29*M29</f>
        <v>0</v>
      </c>
      <c r="O29" s="444"/>
      <c r="P29" s="444"/>
      <c r="Q29" s="414">
        <f>+O29*P29</f>
        <v>0</v>
      </c>
    </row>
    <row r="30" spans="1:17" ht="57">
      <c r="A30" s="371"/>
      <c r="B30" s="371"/>
      <c r="C30" s="368">
        <v>2</v>
      </c>
      <c r="D30" s="369" t="s">
        <v>315</v>
      </c>
      <c r="E30" s="390"/>
      <c r="F30" s="370"/>
      <c r="G30" s="372">
        <f>SUM(G31:G33)</f>
        <v>0</v>
      </c>
      <c r="H30" s="371"/>
      <c r="I30" s="372">
        <f>SUM(I31:I33)</f>
        <v>0</v>
      </c>
      <c r="J30" s="371"/>
      <c r="K30" s="371"/>
      <c r="L30" s="372">
        <f>SUM(L31:L33)</f>
        <v>0</v>
      </c>
      <c r="M30" s="371"/>
      <c r="N30" s="372">
        <f>SUM(N31:N33)</f>
        <v>0</v>
      </c>
      <c r="O30" s="372">
        <f>SUM(O31:O33)</f>
        <v>0</v>
      </c>
      <c r="P30" s="371"/>
      <c r="Q30" s="372">
        <f>SUM(Q31:Q33)</f>
        <v>0</v>
      </c>
    </row>
    <row r="31" spans="3:17" ht="13.5">
      <c r="C31" s="90"/>
      <c r="D31" s="65" t="s">
        <v>314</v>
      </c>
      <c r="E31" s="65"/>
      <c r="F31" s="65"/>
      <c r="G31" s="65"/>
      <c r="H31" s="65"/>
      <c r="I31" s="65"/>
      <c r="J31" s="65">
        <f>IF(($J$14-H31)*J$17&gt;100,100,($J$14-H31)*J$17)</f>
        <v>100</v>
      </c>
      <c r="K31" s="65">
        <f>IF(J31=100,0,I31-I31*J31%)</f>
        <v>0</v>
      </c>
      <c r="L31" s="65"/>
      <c r="M31" s="65"/>
      <c r="N31" s="49">
        <f>+L31*M31</f>
        <v>0</v>
      </c>
      <c r="O31" s="65"/>
      <c r="P31" s="65"/>
      <c r="Q31" s="49">
        <f>+O31*P31</f>
        <v>0</v>
      </c>
    </row>
    <row r="32" spans="3:17" ht="13.5">
      <c r="C32" s="90"/>
      <c r="D32" s="65" t="s">
        <v>314</v>
      </c>
      <c r="E32" s="65"/>
      <c r="F32" s="65"/>
      <c r="G32" s="65"/>
      <c r="H32" s="65">
        <v>0</v>
      </c>
      <c r="I32" s="65">
        <v>0</v>
      </c>
      <c r="J32" s="65">
        <f>IF(($J$14-H32)*J$17&gt;100,100,($J$14-H32)*J$17)</f>
        <v>100</v>
      </c>
      <c r="K32" s="65">
        <f>IF(J32=100,0,I32-I32*J32%)</f>
        <v>0</v>
      </c>
      <c r="L32" s="65"/>
      <c r="M32" s="65"/>
      <c r="N32" s="49">
        <f>+L32*M32</f>
        <v>0</v>
      </c>
      <c r="O32" s="65"/>
      <c r="P32" s="65"/>
      <c r="Q32" s="49">
        <f>+O32*P32</f>
        <v>0</v>
      </c>
    </row>
    <row r="33" spans="3:17" ht="13.5">
      <c r="C33" s="90"/>
      <c r="D33" s="65" t="s">
        <v>314</v>
      </c>
      <c r="E33" s="65"/>
      <c r="F33" s="65"/>
      <c r="G33" s="65"/>
      <c r="H33" s="65"/>
      <c r="I33" s="65"/>
      <c r="J33" s="65">
        <f>IF(($J$14-H33)*J$17&gt;100,100,($J$14-H33)*J$17)</f>
        <v>100</v>
      </c>
      <c r="K33" s="65">
        <f>IF(J33=100,0,I33-I33*J33%)</f>
        <v>0</v>
      </c>
      <c r="L33" s="65"/>
      <c r="M33" s="65"/>
      <c r="N33" s="49">
        <f>+L33*M33</f>
        <v>0</v>
      </c>
      <c r="O33" s="65"/>
      <c r="P33" s="65"/>
      <c r="Q33" s="49">
        <f>+O33*P33</f>
        <v>0</v>
      </c>
    </row>
    <row r="34" spans="1:17" ht="165">
      <c r="A34" s="376"/>
      <c r="B34" s="376"/>
      <c r="C34" s="379">
        <v>611</v>
      </c>
      <c r="D34" s="380" t="s">
        <v>327</v>
      </c>
      <c r="E34" s="381">
        <v>7</v>
      </c>
      <c r="F34" s="65"/>
      <c r="G34" s="367">
        <f>+G35+G39+G60</f>
        <v>141</v>
      </c>
      <c r="H34" s="65"/>
      <c r="I34" s="367">
        <f>+I35+I39+I60</f>
        <v>6856.29</v>
      </c>
      <c r="J34" s="401">
        <v>14.3</v>
      </c>
      <c r="K34" s="65">
        <f>IF(J34=100,0,I34-I34*J34%)</f>
        <v>5875.8405299999995</v>
      </c>
      <c r="L34" s="367">
        <f>+L35+L39+L60</f>
        <v>0</v>
      </c>
      <c r="M34" s="65"/>
      <c r="N34" s="367">
        <f>+N35+N39+N60</f>
        <v>0</v>
      </c>
      <c r="O34" s="367"/>
      <c r="P34" s="65"/>
      <c r="Q34" s="367">
        <f>+Q35+Q39+Q60</f>
        <v>3690</v>
      </c>
    </row>
    <row r="35" spans="1:17" ht="14.25">
      <c r="A35" s="371"/>
      <c r="B35" s="371"/>
      <c r="C35" s="368">
        <v>1</v>
      </c>
      <c r="D35" s="369" t="s">
        <v>317</v>
      </c>
      <c r="E35" s="369"/>
      <c r="F35" s="370"/>
      <c r="G35" s="372">
        <f>SUM(G36:G38)</f>
        <v>2</v>
      </c>
      <c r="H35" s="371"/>
      <c r="I35" s="372">
        <f>SUM(I36:I38)</f>
        <v>308.66999999999996</v>
      </c>
      <c r="J35" s="371"/>
      <c r="K35" s="371"/>
      <c r="L35" s="372">
        <f>SUM(L36:L38)</f>
        <v>0</v>
      </c>
      <c r="M35" s="371"/>
      <c r="N35" s="372">
        <f>SUM(N36:N38)</f>
        <v>0</v>
      </c>
      <c r="O35" s="372">
        <f>SUM(O36:O38)</f>
        <v>0</v>
      </c>
      <c r="P35" s="371"/>
      <c r="Q35" s="372">
        <f>SUM(Q36:Q38)</f>
        <v>0</v>
      </c>
    </row>
    <row r="36" spans="3:17" ht="13.5">
      <c r="C36" s="90"/>
      <c r="D36" s="65" t="s">
        <v>496</v>
      </c>
      <c r="E36" s="65"/>
      <c r="F36" s="65"/>
      <c r="G36" s="65">
        <v>1</v>
      </c>
      <c r="H36" s="65">
        <v>2021</v>
      </c>
      <c r="I36" s="65">
        <v>117.6</v>
      </c>
      <c r="J36" s="65">
        <f>IF(($J$14-H36)*J$34&gt;100,100,($J$14-H36)*J$34)</f>
        <v>28.6</v>
      </c>
      <c r="K36" s="65">
        <f>IF(J36=100,0,I36-I36*J36%)</f>
        <v>83.9664</v>
      </c>
      <c r="L36" s="65"/>
      <c r="M36" s="65"/>
      <c r="N36" s="49">
        <f>+L36*M36</f>
        <v>0</v>
      </c>
      <c r="O36" s="65"/>
      <c r="P36" s="65"/>
      <c r="Q36" s="49">
        <f>+O36*P36</f>
        <v>0</v>
      </c>
    </row>
    <row r="37" spans="3:17" ht="13.5">
      <c r="C37" s="90"/>
      <c r="D37" s="520" t="s">
        <v>508</v>
      </c>
      <c r="E37" s="65"/>
      <c r="F37" s="65"/>
      <c r="G37" s="65">
        <v>1</v>
      </c>
      <c r="H37" s="65">
        <v>2019</v>
      </c>
      <c r="I37" s="65">
        <v>191.07</v>
      </c>
      <c r="J37" s="65">
        <f>IF(($J$14-H37)*J$34&gt;100,100,($J$14-H37)*J$34)</f>
        <v>57.2</v>
      </c>
      <c r="K37" s="65">
        <f>IF(J37=100,0,I37-I37*J37%)</f>
        <v>81.77795999999998</v>
      </c>
      <c r="L37" s="65"/>
      <c r="M37" s="65"/>
      <c r="N37" s="49">
        <f>+L37*M37</f>
        <v>0</v>
      </c>
      <c r="O37" s="65"/>
      <c r="P37" s="65"/>
      <c r="Q37" s="49">
        <f>+O37*P37</f>
        <v>0</v>
      </c>
    </row>
    <row r="38" spans="3:17" ht="13.5">
      <c r="C38" s="90"/>
      <c r="D38" s="65" t="s">
        <v>314</v>
      </c>
      <c r="E38" s="65"/>
      <c r="F38" s="65"/>
      <c r="G38" s="65"/>
      <c r="H38" s="65"/>
      <c r="I38" s="65"/>
      <c r="J38" s="65">
        <f>IF(($J$14-H38)*J$34&gt;100,100,($J$14-H38)*J$34)</f>
        <v>100</v>
      </c>
      <c r="K38" s="65">
        <f>IF(J38=100,0,I38-I38*J38%)</f>
        <v>0</v>
      </c>
      <c r="L38" s="65"/>
      <c r="M38" s="65"/>
      <c r="N38" s="49">
        <f>+L38*M38</f>
        <v>0</v>
      </c>
      <c r="O38" s="65"/>
      <c r="P38" s="65"/>
      <c r="Q38" s="49">
        <f>+O38*P38</f>
        <v>0</v>
      </c>
    </row>
    <row r="39" spans="1:17" ht="42.75">
      <c r="A39" s="371"/>
      <c r="B39" s="371"/>
      <c r="C39" s="368">
        <v>2</v>
      </c>
      <c r="D39" s="369" t="s">
        <v>318</v>
      </c>
      <c r="E39" s="369"/>
      <c r="F39" s="370"/>
      <c r="G39" s="372">
        <f>SUM(G40:G55)</f>
        <v>115</v>
      </c>
      <c r="H39" s="371"/>
      <c r="I39" s="372">
        <f>SUM(I40:I55)</f>
        <v>6073.62</v>
      </c>
      <c r="J39" s="371"/>
      <c r="K39" s="371"/>
      <c r="L39" s="372">
        <f>SUM(L46:L48)</f>
        <v>0</v>
      </c>
      <c r="M39" s="371"/>
      <c r="N39" s="372">
        <f>SUM(N46:N48)</f>
        <v>0</v>
      </c>
      <c r="O39" s="372">
        <f>SUM(O40:O55)</f>
        <v>19</v>
      </c>
      <c r="P39" s="371"/>
      <c r="Q39" s="372">
        <f>+Q40+Q41+Q42+Q43+Q44+Q45+Q46+Q47+Q48+Q49+Q50+Q51</f>
        <v>2430</v>
      </c>
    </row>
    <row r="40" spans="1:17" ht="14.25">
      <c r="A40" s="514"/>
      <c r="B40" s="514"/>
      <c r="C40" s="368"/>
      <c r="D40" s="518" t="s">
        <v>497</v>
      </c>
      <c r="E40" s="369"/>
      <c r="F40" s="370"/>
      <c r="G40" s="65">
        <v>18</v>
      </c>
      <c r="H40" s="65">
        <v>2008</v>
      </c>
      <c r="I40" s="65">
        <v>241.2</v>
      </c>
      <c r="J40" s="65">
        <f>IF(($J$14-H46)*J$34&gt;100,100,($J$14-H46)*J$34)</f>
        <v>100</v>
      </c>
      <c r="K40" s="65">
        <f>IF(J40=100,0,I40-I40*J40%)</f>
        <v>0</v>
      </c>
      <c r="L40" s="372"/>
      <c r="M40" s="371"/>
      <c r="N40" s="372"/>
      <c r="O40" s="372"/>
      <c r="P40" s="371"/>
      <c r="Q40" s="372"/>
    </row>
    <row r="41" spans="1:17" ht="14.25">
      <c r="A41" s="514"/>
      <c r="B41" s="514"/>
      <c r="C41" s="368"/>
      <c r="D41" s="518" t="s">
        <v>498</v>
      </c>
      <c r="E41" s="369"/>
      <c r="F41" s="370"/>
      <c r="G41" s="65">
        <v>24</v>
      </c>
      <c r="H41" s="65">
        <v>2013</v>
      </c>
      <c r="I41" s="65">
        <v>520.8</v>
      </c>
      <c r="J41" s="65">
        <f>IF(($J$14-H47)*J$34&gt;100,100,($J$14-H47)*J$34)</f>
        <v>100</v>
      </c>
      <c r="K41" s="65">
        <f aca="true" t="shared" si="2" ref="K41:K59">IF(J41=100,0,I41-I41*J41%)</f>
        <v>0</v>
      </c>
      <c r="L41" s="372"/>
      <c r="M41" s="371"/>
      <c r="N41" s="372"/>
      <c r="O41" s="372"/>
      <c r="P41" s="371"/>
      <c r="Q41" s="372"/>
    </row>
    <row r="42" spans="1:17" ht="14.25">
      <c r="A42" s="514"/>
      <c r="B42" s="514"/>
      <c r="C42" s="368"/>
      <c r="D42" s="518" t="s">
        <v>499</v>
      </c>
      <c r="E42" s="369"/>
      <c r="F42" s="370"/>
      <c r="G42" s="65">
        <v>3</v>
      </c>
      <c r="H42" s="65">
        <v>2013</v>
      </c>
      <c r="I42" s="65">
        <v>84.9</v>
      </c>
      <c r="J42" s="65">
        <f>IF(($J$14-H48)*J$34&gt;100,100,($J$14-H48)*J$34)</f>
        <v>100</v>
      </c>
      <c r="K42" s="65">
        <f t="shared" si="2"/>
        <v>0</v>
      </c>
      <c r="L42" s="372"/>
      <c r="M42" s="371"/>
      <c r="N42" s="372"/>
      <c r="O42" s="372"/>
      <c r="P42" s="371"/>
      <c r="Q42" s="372"/>
    </row>
    <row r="43" spans="1:17" ht="14.25">
      <c r="A43" s="514"/>
      <c r="B43" s="514"/>
      <c r="C43" s="368"/>
      <c r="D43" s="518" t="s">
        <v>500</v>
      </c>
      <c r="E43" s="369"/>
      <c r="F43" s="370"/>
      <c r="G43" s="65">
        <v>3</v>
      </c>
      <c r="H43" s="65">
        <v>2011</v>
      </c>
      <c r="I43" s="65">
        <v>44.4</v>
      </c>
      <c r="J43" s="65">
        <f>IF(($J$14-H60)*J$34&gt;100,100,($J$14-H60)*J$34)</f>
        <v>100</v>
      </c>
      <c r="K43" s="65">
        <f t="shared" si="2"/>
        <v>0</v>
      </c>
      <c r="L43" s="372"/>
      <c r="M43" s="371"/>
      <c r="N43" s="372"/>
      <c r="O43" s="372">
        <v>15</v>
      </c>
      <c r="P43" s="371">
        <v>90</v>
      </c>
      <c r="Q43" s="49">
        <f>+O43*P43</f>
        <v>1350</v>
      </c>
    </row>
    <row r="44" spans="1:17" ht="14.25">
      <c r="A44" s="514"/>
      <c r="B44" s="514"/>
      <c r="C44" s="368"/>
      <c r="D44" s="518" t="s">
        <v>501</v>
      </c>
      <c r="E44" s="369"/>
      <c r="F44" s="370"/>
      <c r="G44" s="65">
        <v>8</v>
      </c>
      <c r="H44" s="65">
        <v>2007</v>
      </c>
      <c r="I44" s="65">
        <v>182.4</v>
      </c>
      <c r="J44" s="65">
        <f>IF(($J$14-H61)*J$34&gt;100,100,($J$14-H61)*J$34)</f>
        <v>57.2</v>
      </c>
      <c r="K44" s="65">
        <f t="shared" si="2"/>
        <v>78.06719999999999</v>
      </c>
      <c r="L44" s="372"/>
      <c r="M44" s="371"/>
      <c r="N44" s="372"/>
      <c r="O44" s="372"/>
      <c r="P44" s="371"/>
      <c r="Q44" s="372"/>
    </row>
    <row r="45" spans="1:17" ht="14.25">
      <c r="A45" s="514"/>
      <c r="B45" s="514"/>
      <c r="C45" s="368"/>
      <c r="D45" s="518" t="s">
        <v>502</v>
      </c>
      <c r="E45" s="369"/>
      <c r="F45" s="370"/>
      <c r="G45" s="65">
        <v>4</v>
      </c>
      <c r="H45" s="65">
        <v>2010</v>
      </c>
      <c r="I45" s="65">
        <v>177.2</v>
      </c>
      <c r="J45" s="65">
        <f>IF(($J$14-H62)*J$34&gt;100,100,($J$14-H62)*J$34)</f>
        <v>42.900000000000006</v>
      </c>
      <c r="K45" s="65">
        <f t="shared" si="2"/>
        <v>101.18119999999999</v>
      </c>
      <c r="L45" s="372"/>
      <c r="M45" s="371"/>
      <c r="N45" s="372"/>
      <c r="O45" s="372"/>
      <c r="P45" s="371"/>
      <c r="Q45" s="372"/>
    </row>
    <row r="46" spans="3:17" ht="14.25">
      <c r="C46" s="90"/>
      <c r="D46" s="518" t="s">
        <v>503</v>
      </c>
      <c r="E46" s="68"/>
      <c r="F46" s="65"/>
      <c r="G46" s="65">
        <v>2</v>
      </c>
      <c r="H46" s="65">
        <v>2013</v>
      </c>
      <c r="I46" s="65">
        <v>142.9</v>
      </c>
      <c r="J46" s="65">
        <f>IF(($J$14-H63)*J$34&gt;100,100,($J$14-H63)*J$34)</f>
        <v>100</v>
      </c>
      <c r="K46" s="65">
        <f t="shared" si="2"/>
        <v>0</v>
      </c>
      <c r="L46" s="65"/>
      <c r="M46" s="65"/>
      <c r="N46" s="49">
        <f>+L46*M46</f>
        <v>0</v>
      </c>
      <c r="O46" s="65"/>
      <c r="P46" s="65"/>
      <c r="Q46" s="49">
        <f>+O46*P46</f>
        <v>0</v>
      </c>
    </row>
    <row r="47" spans="3:17" ht="14.25">
      <c r="C47" s="90"/>
      <c r="D47" s="518" t="s">
        <v>504</v>
      </c>
      <c r="E47" s="68"/>
      <c r="F47" s="65"/>
      <c r="G47" s="65">
        <v>1</v>
      </c>
      <c r="H47" s="65">
        <v>2013</v>
      </c>
      <c r="I47" s="65">
        <v>92.85</v>
      </c>
      <c r="J47" s="65">
        <f>IF(($J$14-H47)*J$34&gt;100,100,($J$14-H47)*J$34)</f>
        <v>100</v>
      </c>
      <c r="K47" s="65">
        <f t="shared" si="2"/>
        <v>0</v>
      </c>
      <c r="L47" s="65"/>
      <c r="M47" s="65"/>
      <c r="N47" s="49">
        <f>+L47*M47</f>
        <v>0</v>
      </c>
      <c r="O47" s="65"/>
      <c r="P47" s="65"/>
      <c r="Q47" s="49">
        <f>+O47*P47</f>
        <v>0</v>
      </c>
    </row>
    <row r="48" spans="3:17" ht="14.25">
      <c r="C48" s="90"/>
      <c r="D48" s="518" t="s">
        <v>505</v>
      </c>
      <c r="E48" s="68"/>
      <c r="F48" s="65"/>
      <c r="G48" s="65">
        <v>3</v>
      </c>
      <c r="H48" s="65">
        <v>2009</v>
      </c>
      <c r="I48" s="65">
        <v>44.85</v>
      </c>
      <c r="J48" s="65">
        <f>IF(($J$14-H48)*J$34&gt;100,100,($J$14-H48)*J$34)</f>
        <v>100</v>
      </c>
      <c r="K48" s="65">
        <f t="shared" si="2"/>
        <v>0</v>
      </c>
      <c r="L48" s="65"/>
      <c r="M48" s="65"/>
      <c r="N48" s="49">
        <f>+L48*M48</f>
        <v>0</v>
      </c>
      <c r="O48" s="65"/>
      <c r="P48" s="65"/>
      <c r="Q48" s="49">
        <f>+O48*P48</f>
        <v>0</v>
      </c>
    </row>
    <row r="49" spans="3:17" ht="14.25">
      <c r="C49" s="90"/>
      <c r="D49" s="518" t="s">
        <v>506</v>
      </c>
      <c r="E49" s="68"/>
      <c r="F49" s="65"/>
      <c r="G49" s="65">
        <v>9</v>
      </c>
      <c r="H49" s="65">
        <v>2019</v>
      </c>
      <c r="I49" s="65">
        <v>405</v>
      </c>
      <c r="J49" s="65">
        <f>IF(($J$14-H49)*J$34&gt;100,100,($J$14-H49)*J$34)</f>
        <v>57.2</v>
      </c>
      <c r="K49" s="65">
        <f t="shared" si="2"/>
        <v>173.33999999999997</v>
      </c>
      <c r="L49" s="65"/>
      <c r="M49" s="65"/>
      <c r="N49" s="49"/>
      <c r="O49" s="65"/>
      <c r="P49" s="65"/>
      <c r="Q49" s="49">
        <f aca="true" t="shared" si="3" ref="Q49:Q55">+O49*P49</f>
        <v>0</v>
      </c>
    </row>
    <row r="50" spans="3:17" ht="14.25">
      <c r="C50" s="90"/>
      <c r="D50" s="520" t="s">
        <v>509</v>
      </c>
      <c r="E50" s="68"/>
      <c r="F50" s="65"/>
      <c r="G50" s="65">
        <v>2</v>
      </c>
      <c r="H50" s="65">
        <v>2019</v>
      </c>
      <c r="I50" s="65">
        <v>79.8</v>
      </c>
      <c r="J50" s="65"/>
      <c r="K50" s="65">
        <f t="shared" si="2"/>
        <v>79.8</v>
      </c>
      <c r="L50" s="65"/>
      <c r="M50" s="65"/>
      <c r="N50" s="49"/>
      <c r="O50" s="65">
        <v>4</v>
      </c>
      <c r="P50" s="65">
        <v>270</v>
      </c>
      <c r="Q50" s="49">
        <f t="shared" si="3"/>
        <v>1080</v>
      </c>
    </row>
    <row r="51" spans="3:17" ht="14.25">
      <c r="C51" s="90"/>
      <c r="D51" s="520" t="s">
        <v>511</v>
      </c>
      <c r="E51" s="68"/>
      <c r="F51" s="65"/>
      <c r="G51" s="65">
        <v>10</v>
      </c>
      <c r="H51" s="65">
        <v>2020</v>
      </c>
      <c r="I51" s="65">
        <v>1310.4</v>
      </c>
      <c r="J51" s="65"/>
      <c r="K51" s="65">
        <f t="shared" si="2"/>
        <v>1310.4</v>
      </c>
      <c r="L51" s="65"/>
      <c r="M51" s="65"/>
      <c r="N51" s="49"/>
      <c r="O51" s="65"/>
      <c r="P51" s="65"/>
      <c r="Q51" s="49">
        <f t="shared" si="3"/>
        <v>0</v>
      </c>
    </row>
    <row r="52" spans="3:17" ht="14.25">
      <c r="C52" s="90"/>
      <c r="D52" s="518" t="s">
        <v>512</v>
      </c>
      <c r="E52" s="68"/>
      <c r="F52" s="65"/>
      <c r="G52" s="65">
        <v>3</v>
      </c>
      <c r="H52" s="65">
        <v>2020</v>
      </c>
      <c r="I52" s="65">
        <v>159</v>
      </c>
      <c r="J52" s="65"/>
      <c r="K52" s="65">
        <f t="shared" si="2"/>
        <v>159</v>
      </c>
      <c r="L52" s="65"/>
      <c r="M52" s="65"/>
      <c r="N52" s="49"/>
      <c r="O52" s="65"/>
      <c r="P52" s="65"/>
      <c r="Q52" s="49">
        <f t="shared" si="3"/>
        <v>0</v>
      </c>
    </row>
    <row r="53" spans="3:17" ht="14.25">
      <c r="C53" s="90"/>
      <c r="D53" s="518" t="s">
        <v>513</v>
      </c>
      <c r="E53" s="68"/>
      <c r="F53" s="65"/>
      <c r="G53" s="65">
        <v>20</v>
      </c>
      <c r="H53" s="65">
        <v>2020</v>
      </c>
      <c r="I53" s="65">
        <v>1399.92</v>
      </c>
      <c r="J53" s="65"/>
      <c r="K53" s="65">
        <f t="shared" si="2"/>
        <v>1399.92</v>
      </c>
      <c r="L53" s="65"/>
      <c r="M53" s="65"/>
      <c r="N53" s="49"/>
      <c r="O53" s="65"/>
      <c r="P53" s="65"/>
      <c r="Q53" s="49">
        <f t="shared" si="3"/>
        <v>0</v>
      </c>
    </row>
    <row r="54" spans="4:17" ht="13.5">
      <c r="D54" s="518" t="s">
        <v>514</v>
      </c>
      <c r="G54" s="65">
        <v>2</v>
      </c>
      <c r="H54" s="65">
        <v>2020</v>
      </c>
      <c r="I54" s="65">
        <v>820.8</v>
      </c>
      <c r="K54" s="65">
        <f t="shared" si="2"/>
        <v>820.8</v>
      </c>
      <c r="Q54" s="49">
        <f t="shared" si="3"/>
        <v>0</v>
      </c>
    </row>
    <row r="55" spans="3:17" ht="14.25">
      <c r="C55" s="90"/>
      <c r="D55" s="520" t="s">
        <v>507</v>
      </c>
      <c r="E55" s="68"/>
      <c r="F55" s="65"/>
      <c r="G55" s="65">
        <v>3</v>
      </c>
      <c r="H55" s="65">
        <v>2019</v>
      </c>
      <c r="I55" s="65">
        <v>367.2</v>
      </c>
      <c r="J55" s="65">
        <f>IF(($J$14-H55)*J$34&gt;100,100,($J$14-H55)*J$34)</f>
        <v>57.2</v>
      </c>
      <c r="K55" s="65">
        <f>IF(J55=100,0,I55-I55*J55%)</f>
        <v>157.16159999999996</v>
      </c>
      <c r="L55" s="65"/>
      <c r="M55" s="65"/>
      <c r="N55" s="49"/>
      <c r="O55" s="65"/>
      <c r="P55" s="65"/>
      <c r="Q55" s="49">
        <f t="shared" si="3"/>
        <v>0</v>
      </c>
    </row>
    <row r="56" spans="3:17" ht="14.25" hidden="1">
      <c r="C56" s="90"/>
      <c r="D56" s="518"/>
      <c r="E56" s="68"/>
      <c r="F56" s="65"/>
      <c r="G56" s="65"/>
      <c r="H56" s="65"/>
      <c r="I56" s="65"/>
      <c r="J56" s="65"/>
      <c r="K56" s="65">
        <f t="shared" si="2"/>
        <v>0</v>
      </c>
      <c r="L56" s="65"/>
      <c r="M56" s="65"/>
      <c r="N56" s="49"/>
      <c r="O56" s="65"/>
      <c r="P56" s="65"/>
      <c r="Q56" s="49"/>
    </row>
    <row r="57" spans="3:17" ht="14.25" hidden="1">
      <c r="C57" s="90"/>
      <c r="D57" s="518"/>
      <c r="E57" s="68"/>
      <c r="F57" s="65"/>
      <c r="G57" s="65"/>
      <c r="H57" s="65"/>
      <c r="I57" s="65"/>
      <c r="J57" s="65"/>
      <c r="K57" s="65">
        <f t="shared" si="2"/>
        <v>0</v>
      </c>
      <c r="L57" s="65"/>
      <c r="M57" s="65"/>
      <c r="N57" s="49"/>
      <c r="O57" s="65"/>
      <c r="P57" s="65"/>
      <c r="Q57" s="49"/>
    </row>
    <row r="58" ht="13.5" hidden="1"/>
    <row r="59" spans="3:17" ht="13.5" hidden="1">
      <c r="C59" s="65"/>
      <c r="E59" s="65"/>
      <c r="F59" s="65"/>
      <c r="G59" s="65"/>
      <c r="H59" s="65"/>
      <c r="I59" s="65"/>
      <c r="J59" s="65">
        <f>IF(($J$14-H59)*J$34&gt;100,100,($J$14-H59)*J$34)</f>
        <v>100</v>
      </c>
      <c r="K59" s="65">
        <f t="shared" si="2"/>
        <v>0</v>
      </c>
      <c r="L59" s="65"/>
      <c r="M59" s="65"/>
      <c r="N59" s="65"/>
      <c r="O59" s="65"/>
      <c r="P59" s="65"/>
      <c r="Q59" s="65"/>
    </row>
    <row r="60" spans="1:17" ht="28.5">
      <c r="A60" s="371"/>
      <c r="B60" s="371"/>
      <c r="C60" s="368">
        <v>3</v>
      </c>
      <c r="D60" s="369" t="s">
        <v>319</v>
      </c>
      <c r="E60" s="369"/>
      <c r="F60" s="370"/>
      <c r="G60" s="372">
        <f>SUM(G61:G63)</f>
        <v>24</v>
      </c>
      <c r="H60" s="371"/>
      <c r="I60" s="372">
        <f>SUM(I61:I63)</f>
        <v>474</v>
      </c>
      <c r="J60" s="371"/>
      <c r="K60" s="371"/>
      <c r="L60" s="372">
        <f>SUM(L61:L63)</f>
        <v>0</v>
      </c>
      <c r="M60" s="371"/>
      <c r="N60" s="372">
        <f>SUM(N61:N63)</f>
        <v>0</v>
      </c>
      <c r="O60" s="372">
        <f>SUM(O61:O63)</f>
        <v>84</v>
      </c>
      <c r="P60" s="371"/>
      <c r="Q60" s="372">
        <f>SUM(Q61:Q63)</f>
        <v>1260</v>
      </c>
    </row>
    <row r="61" spans="3:17" ht="14.25">
      <c r="C61" s="90"/>
      <c r="D61" s="520" t="s">
        <v>516</v>
      </c>
      <c r="E61" s="68"/>
      <c r="F61" s="65"/>
      <c r="G61" s="65">
        <v>10</v>
      </c>
      <c r="H61" s="65">
        <v>2019</v>
      </c>
      <c r="I61" s="65">
        <v>196.8</v>
      </c>
      <c r="J61" s="65">
        <f>IF(($J$14-H61)*J$34&gt;100,100,($J$14-H61)*J$34)</f>
        <v>57.2</v>
      </c>
      <c r="K61" s="65">
        <f>IF(J61=100,0,I61-I61*J61%)</f>
        <v>84.23039999999999</v>
      </c>
      <c r="L61" s="65"/>
      <c r="M61" s="65"/>
      <c r="N61" s="49">
        <f>+L61*M61</f>
        <v>0</v>
      </c>
      <c r="O61" s="65"/>
      <c r="P61" s="65"/>
      <c r="Q61" s="49">
        <f>+O61*P61</f>
        <v>0</v>
      </c>
    </row>
    <row r="62" spans="3:17" ht="14.25">
      <c r="C62" s="90"/>
      <c r="D62" s="518" t="s">
        <v>517</v>
      </c>
      <c r="E62" s="68"/>
      <c r="F62" s="65"/>
      <c r="G62" s="65">
        <v>14</v>
      </c>
      <c r="H62" s="65">
        <v>2020</v>
      </c>
      <c r="I62" s="65">
        <v>277.2</v>
      </c>
      <c r="J62" s="65">
        <f>IF(($J$14-H62)*J$34&gt;100,100,($J$14-H62)*J$34)</f>
        <v>42.900000000000006</v>
      </c>
      <c r="K62" s="65">
        <f>IF(J62=100,0,I62-I62*J62%)</f>
        <v>158.28119999999998</v>
      </c>
      <c r="L62" s="65"/>
      <c r="M62" s="65"/>
      <c r="N62" s="49">
        <f>+L62*M62</f>
        <v>0</v>
      </c>
      <c r="O62" s="65">
        <v>84</v>
      </c>
      <c r="P62" s="65">
        <v>15</v>
      </c>
      <c r="Q62" s="49">
        <f>+O62*P62</f>
        <v>1260</v>
      </c>
    </row>
    <row r="63" spans="3:17" ht="14.25">
      <c r="C63" s="90"/>
      <c r="D63" s="68"/>
      <c r="E63" s="68"/>
      <c r="F63" s="65"/>
      <c r="G63" s="65"/>
      <c r="H63" s="65"/>
      <c r="I63" s="65"/>
      <c r="J63" s="65">
        <f>IF(($J$14-H63)*J$34&gt;100,100,($J$14-H63)*J$34)</f>
        <v>100</v>
      </c>
      <c r="K63" s="65">
        <f>IF(J63=100,0,I63-I63*J63%)</f>
        <v>0</v>
      </c>
      <c r="L63" s="65"/>
      <c r="M63" s="65"/>
      <c r="N63" s="49">
        <f>+L63*M63</f>
        <v>0</v>
      </c>
      <c r="O63" s="65">
        <v>0</v>
      </c>
      <c r="P63" s="65">
        <v>0</v>
      </c>
      <c r="Q63" s="49">
        <f>+O63*P63</f>
        <v>0</v>
      </c>
    </row>
    <row r="64" spans="1:17" ht="30" customHeight="1">
      <c r="A64" s="397"/>
      <c r="B64" s="397"/>
      <c r="C64" s="396">
        <v>619</v>
      </c>
      <c r="D64" s="380" t="s">
        <v>328</v>
      </c>
      <c r="E64" s="381">
        <v>8</v>
      </c>
      <c r="F64" s="65"/>
      <c r="G64" s="367">
        <f>SUM(G65:G67)</f>
        <v>2</v>
      </c>
      <c r="H64" s="65"/>
      <c r="I64" s="367">
        <f>SUM(I65:I67)</f>
        <v>257.2</v>
      </c>
      <c r="J64" s="401">
        <v>12.5</v>
      </c>
      <c r="K64" s="65"/>
      <c r="L64" s="367">
        <f>SUM(L65:L67)</f>
        <v>0</v>
      </c>
      <c r="M64" s="65"/>
      <c r="N64" s="367">
        <f>SUM(N65:N67)</f>
        <v>0</v>
      </c>
      <c r="O64" s="367">
        <f>SUM(O65:O67)</f>
        <v>0</v>
      </c>
      <c r="P64" s="65"/>
      <c r="Q64" s="367">
        <f>SUM(Q65:Q67)</f>
        <v>0</v>
      </c>
    </row>
    <row r="65" spans="3:17" ht="14.25">
      <c r="C65" s="90"/>
      <c r="D65" s="518" t="s">
        <v>515</v>
      </c>
      <c r="E65" s="68"/>
      <c r="F65" s="65"/>
      <c r="G65" s="65">
        <v>1</v>
      </c>
      <c r="H65" s="65">
        <v>2008</v>
      </c>
      <c r="I65" s="65">
        <v>66.1</v>
      </c>
      <c r="J65" s="65">
        <f>IF(($J$14-H65)*J$64&gt;100,100,($J$14-H65)*J$64)</f>
        <v>100</v>
      </c>
      <c r="K65" s="65">
        <f>IF(J65=100,0,I65-I65*J65%)</f>
        <v>0</v>
      </c>
      <c r="L65" s="65"/>
      <c r="M65" s="65"/>
      <c r="N65" s="49">
        <f>+L65*M65</f>
        <v>0</v>
      </c>
      <c r="O65" s="65"/>
      <c r="P65" s="65"/>
      <c r="Q65" s="49">
        <f>+O65*P65</f>
        <v>0</v>
      </c>
    </row>
    <row r="66" spans="3:17" ht="14.25">
      <c r="C66" s="90"/>
      <c r="D66" s="518" t="s">
        <v>515</v>
      </c>
      <c r="E66" s="68"/>
      <c r="F66" s="65"/>
      <c r="G66" s="65">
        <v>1</v>
      </c>
      <c r="H66" s="65">
        <v>2008</v>
      </c>
      <c r="I66" s="65">
        <v>191.1</v>
      </c>
      <c r="J66" s="65">
        <f>IF(($J$14-H66)*J$64&gt;100,100,($J$14-H66)*J$64)</f>
        <v>100</v>
      </c>
      <c r="K66" s="65">
        <f>IF(J66=100,0,I66-I66*J66%)</f>
        <v>0</v>
      </c>
      <c r="L66" s="65"/>
      <c r="M66" s="65"/>
      <c r="N66" s="49">
        <f>+L66*M66</f>
        <v>0</v>
      </c>
      <c r="O66" s="65"/>
      <c r="P66" s="65"/>
      <c r="Q66" s="49">
        <f>+O66*P66</f>
        <v>0</v>
      </c>
    </row>
    <row r="67" spans="3:17" ht="14.25">
      <c r="C67" s="90"/>
      <c r="D67" s="68" t="s">
        <v>314</v>
      </c>
      <c r="E67" s="68"/>
      <c r="F67" s="65"/>
      <c r="G67" s="65"/>
      <c r="H67" s="65"/>
      <c r="I67" s="65"/>
      <c r="J67" s="65">
        <f>IF(($J$14-H67)*J$64&gt;100,100,($J$14-H67)*J$64)</f>
        <v>100</v>
      </c>
      <c r="K67" s="65">
        <f>IF(J67=100,0,I67-I67*J67%)</f>
        <v>0</v>
      </c>
      <c r="L67" s="65"/>
      <c r="M67" s="65"/>
      <c r="N67" s="49">
        <f>+L67*M67</f>
        <v>0</v>
      </c>
      <c r="O67" s="65"/>
      <c r="P67" s="65"/>
      <c r="Q67" s="49">
        <f>+O67*P67</f>
        <v>0</v>
      </c>
    </row>
    <row r="68" spans="1:17" ht="32.25" customHeight="1">
      <c r="A68" s="398">
        <v>6</v>
      </c>
      <c r="B68" s="399">
        <v>62</v>
      </c>
      <c r="C68" s="384"/>
      <c r="D68" s="385" t="s">
        <v>331</v>
      </c>
      <c r="E68" s="386"/>
      <c r="F68" s="387"/>
      <c r="G68" s="400">
        <f>+G69+G109+G113+G122</f>
        <v>978</v>
      </c>
      <c r="H68" s="388"/>
      <c r="I68" s="400">
        <f>+I69+I109+I113+I122</f>
        <v>88440.95</v>
      </c>
      <c r="J68" s="388"/>
      <c r="K68" s="388"/>
      <c r="L68" s="400">
        <f>+L69+L109+L113+L122</f>
        <v>0</v>
      </c>
      <c r="M68" s="388"/>
      <c r="N68" s="389">
        <f>+N69+N109+N113+N122</f>
        <v>0</v>
      </c>
      <c r="O68" s="400">
        <f>+O69+O109+O113+O122</f>
        <v>0</v>
      </c>
      <c r="P68" s="388"/>
      <c r="Q68" s="389">
        <f>+Q69+Q109+Q113+Q122</f>
        <v>0</v>
      </c>
    </row>
    <row r="69" spans="1:17" ht="66">
      <c r="A69" s="397"/>
      <c r="B69" s="397"/>
      <c r="C69" s="396">
        <v>620</v>
      </c>
      <c r="D69" s="380" t="s">
        <v>333</v>
      </c>
      <c r="E69" s="381">
        <v>10</v>
      </c>
      <c r="F69" s="65"/>
      <c r="G69" s="367">
        <f>SUM(G70:G108)</f>
        <v>865</v>
      </c>
      <c r="H69" s="65"/>
      <c r="I69" s="367">
        <f>SUM(I70:I108)</f>
        <v>13879.900000000001</v>
      </c>
      <c r="J69" s="401">
        <v>10</v>
      </c>
      <c r="K69" s="65"/>
      <c r="L69" s="367">
        <f>SUM(L70:L108)</f>
        <v>0</v>
      </c>
      <c r="M69" s="65"/>
      <c r="N69" s="367">
        <f>SUM(N70:N108)</f>
        <v>0</v>
      </c>
      <c r="O69" s="367">
        <f>SUM(O70:O108)</f>
        <v>0</v>
      </c>
      <c r="P69" s="65"/>
      <c r="Q69" s="367">
        <f>SUM(Q70:Q108)</f>
        <v>0</v>
      </c>
    </row>
    <row r="70" spans="3:17" ht="13.5">
      <c r="C70" s="90"/>
      <c r="D70" s="65" t="s">
        <v>528</v>
      </c>
      <c r="E70" s="65"/>
      <c r="F70" s="65"/>
      <c r="G70" s="65">
        <v>24</v>
      </c>
      <c r="H70" s="65">
        <v>2013</v>
      </c>
      <c r="I70" s="65">
        <v>878.4</v>
      </c>
      <c r="J70" s="65">
        <f>IF(($J$14-H70)*J$69&gt;100,100,($J$14-H70)*J$69)</f>
        <v>100</v>
      </c>
      <c r="K70" s="65">
        <f>IF(J70=100,0,I70-I70*J70%)</f>
        <v>0</v>
      </c>
      <c r="L70" s="65"/>
      <c r="M70" s="65"/>
      <c r="N70" s="49">
        <f>+L70*M70</f>
        <v>0</v>
      </c>
      <c r="O70" s="65"/>
      <c r="P70" s="65"/>
      <c r="Q70" s="49">
        <f>+O70*P70</f>
        <v>0</v>
      </c>
    </row>
    <row r="71" spans="3:17" ht="13.5">
      <c r="C71" s="90"/>
      <c r="D71" s="65" t="s">
        <v>528</v>
      </c>
      <c r="E71" s="65"/>
      <c r="F71" s="65"/>
      <c r="G71" s="65">
        <v>1</v>
      </c>
      <c r="H71" s="65">
        <v>2013</v>
      </c>
      <c r="I71" s="65">
        <v>121.3</v>
      </c>
      <c r="J71" s="65">
        <f aca="true" t="shared" si="4" ref="J71:J108">IF(($J$14-H71)*J$69&gt;100,100,($J$14-H71)*J$69)</f>
        <v>100</v>
      </c>
      <c r="K71" s="65"/>
      <c r="L71" s="65"/>
      <c r="M71" s="65"/>
      <c r="N71" s="49"/>
      <c r="O71" s="65"/>
      <c r="P71" s="65"/>
      <c r="Q71" s="49"/>
    </row>
    <row r="72" spans="3:17" ht="13.5">
      <c r="C72" s="90"/>
      <c r="D72" s="65" t="s">
        <v>529</v>
      </c>
      <c r="E72" s="65"/>
      <c r="F72" s="65"/>
      <c r="G72" s="65">
        <v>66</v>
      </c>
      <c r="H72" s="65">
        <v>2013</v>
      </c>
      <c r="I72" s="65">
        <v>1630.2</v>
      </c>
      <c r="J72" s="65">
        <f t="shared" si="4"/>
        <v>100</v>
      </c>
      <c r="K72" s="65"/>
      <c r="L72" s="65"/>
      <c r="M72" s="65"/>
      <c r="N72" s="49"/>
      <c r="O72" s="65"/>
      <c r="P72" s="65"/>
      <c r="Q72" s="49"/>
    </row>
    <row r="73" spans="3:17" ht="13.5">
      <c r="C73" s="90"/>
      <c r="D73" s="65" t="s">
        <v>530</v>
      </c>
      <c r="E73" s="65"/>
      <c r="F73" s="65"/>
      <c r="G73" s="65">
        <v>30</v>
      </c>
      <c r="H73" s="65">
        <v>2013</v>
      </c>
      <c r="I73" s="65">
        <v>1122</v>
      </c>
      <c r="J73" s="65">
        <f t="shared" si="4"/>
        <v>100</v>
      </c>
      <c r="K73" s="65"/>
      <c r="L73" s="65"/>
      <c r="M73" s="65"/>
      <c r="N73" s="49"/>
      <c r="O73" s="65"/>
      <c r="P73" s="65"/>
      <c r="Q73" s="49"/>
    </row>
    <row r="74" spans="3:17" ht="13.5">
      <c r="C74" s="90"/>
      <c r="D74" s="65" t="s">
        <v>531</v>
      </c>
      <c r="E74" s="65"/>
      <c r="F74" s="65"/>
      <c r="G74" s="65">
        <v>2</v>
      </c>
      <c r="H74" s="65">
        <v>2010</v>
      </c>
      <c r="I74" s="65">
        <v>26</v>
      </c>
      <c r="J74" s="65">
        <f t="shared" si="4"/>
        <v>100</v>
      </c>
      <c r="K74" s="65"/>
      <c r="L74" s="65"/>
      <c r="M74" s="65"/>
      <c r="N74" s="49"/>
      <c r="O74" s="65"/>
      <c r="P74" s="65"/>
      <c r="Q74" s="49"/>
    </row>
    <row r="75" spans="3:17" ht="13.5">
      <c r="C75" s="90"/>
      <c r="D75" s="65" t="s">
        <v>528</v>
      </c>
      <c r="E75" s="65"/>
      <c r="F75" s="65"/>
      <c r="G75" s="65">
        <v>2</v>
      </c>
      <c r="H75" s="65">
        <v>2013</v>
      </c>
      <c r="I75" s="65">
        <v>218.8</v>
      </c>
      <c r="J75" s="65">
        <f t="shared" si="4"/>
        <v>100</v>
      </c>
      <c r="K75" s="65"/>
      <c r="L75" s="65"/>
      <c r="M75" s="65"/>
      <c r="N75" s="49"/>
      <c r="O75" s="65"/>
      <c r="P75" s="65"/>
      <c r="Q75" s="49"/>
    </row>
    <row r="76" spans="3:17" ht="13.5">
      <c r="C76" s="90"/>
      <c r="D76" s="65" t="s">
        <v>532</v>
      </c>
      <c r="E76" s="65"/>
      <c r="F76" s="65"/>
      <c r="G76" s="65">
        <v>76</v>
      </c>
      <c r="H76" s="65">
        <v>2013</v>
      </c>
      <c r="I76" s="65">
        <v>2470</v>
      </c>
      <c r="J76" s="65">
        <f t="shared" si="4"/>
        <v>100</v>
      </c>
      <c r="K76" s="65"/>
      <c r="L76" s="65"/>
      <c r="M76" s="65"/>
      <c r="N76" s="49"/>
      <c r="O76" s="65"/>
      <c r="P76" s="65"/>
      <c r="Q76" s="49"/>
    </row>
    <row r="77" spans="3:17" ht="13.5">
      <c r="C77" s="90"/>
      <c r="D77" s="65" t="s">
        <v>533</v>
      </c>
      <c r="E77" s="65"/>
      <c r="F77" s="65"/>
      <c r="G77" s="65">
        <v>1</v>
      </c>
      <c r="H77" s="65">
        <v>2013</v>
      </c>
      <c r="I77" s="65">
        <v>65</v>
      </c>
      <c r="J77" s="65">
        <f t="shared" si="4"/>
        <v>100</v>
      </c>
      <c r="K77" s="65"/>
      <c r="L77" s="65"/>
      <c r="M77" s="65"/>
      <c r="N77" s="49"/>
      <c r="O77" s="65"/>
      <c r="P77" s="65"/>
      <c r="Q77" s="49"/>
    </row>
    <row r="78" spans="3:17" ht="13.5">
      <c r="C78" s="90"/>
      <c r="D78" s="65" t="s">
        <v>534</v>
      </c>
      <c r="E78" s="65"/>
      <c r="F78" s="65"/>
      <c r="G78" s="65">
        <v>232</v>
      </c>
      <c r="H78" s="65">
        <v>2013</v>
      </c>
      <c r="I78" s="65">
        <v>2900</v>
      </c>
      <c r="J78" s="65">
        <f t="shared" si="4"/>
        <v>100</v>
      </c>
      <c r="K78" s="65"/>
      <c r="L78" s="65"/>
      <c r="M78" s="65"/>
      <c r="N78" s="49"/>
      <c r="O78" s="65"/>
      <c r="P78" s="65"/>
      <c r="Q78" s="49"/>
    </row>
    <row r="79" spans="3:17" ht="13.5">
      <c r="C79" s="90"/>
      <c r="D79" s="65" t="s">
        <v>535</v>
      </c>
      <c r="E79" s="65"/>
      <c r="F79" s="65"/>
      <c r="G79" s="65">
        <v>113</v>
      </c>
      <c r="H79" s="65">
        <v>1998</v>
      </c>
      <c r="I79" s="65">
        <v>45.2</v>
      </c>
      <c r="J79" s="65">
        <f t="shared" si="4"/>
        <v>100</v>
      </c>
      <c r="K79" s="65"/>
      <c r="L79" s="65"/>
      <c r="M79" s="65"/>
      <c r="N79" s="49"/>
      <c r="O79" s="65"/>
      <c r="P79" s="65"/>
      <c r="Q79" s="49"/>
    </row>
    <row r="80" spans="3:17" ht="13.5">
      <c r="C80" s="90"/>
      <c r="D80" s="65" t="s">
        <v>536</v>
      </c>
      <c r="E80" s="65"/>
      <c r="F80" s="65"/>
      <c r="G80" s="65">
        <v>30</v>
      </c>
      <c r="H80" s="65">
        <v>2013</v>
      </c>
      <c r="I80" s="65">
        <v>375</v>
      </c>
      <c r="J80" s="65">
        <f t="shared" si="4"/>
        <v>100</v>
      </c>
      <c r="K80" s="65"/>
      <c r="L80" s="65"/>
      <c r="M80" s="65"/>
      <c r="N80" s="49"/>
      <c r="O80" s="65"/>
      <c r="P80" s="65"/>
      <c r="Q80" s="49"/>
    </row>
    <row r="81" spans="3:17" ht="13.5">
      <c r="C81" s="90"/>
      <c r="D81" s="65" t="s">
        <v>537</v>
      </c>
      <c r="E81" s="65"/>
      <c r="F81" s="65"/>
      <c r="G81" s="65">
        <v>200</v>
      </c>
      <c r="H81" s="65">
        <v>2013</v>
      </c>
      <c r="I81" s="65">
        <v>2500</v>
      </c>
      <c r="J81" s="65">
        <f t="shared" si="4"/>
        <v>100</v>
      </c>
      <c r="K81" s="65"/>
      <c r="L81" s="65"/>
      <c r="M81" s="65"/>
      <c r="N81" s="49"/>
      <c r="O81" s="65"/>
      <c r="P81" s="65"/>
      <c r="Q81" s="49"/>
    </row>
    <row r="82" spans="3:17" ht="13.5">
      <c r="C82" s="90"/>
      <c r="D82" s="65" t="s">
        <v>538</v>
      </c>
      <c r="E82" s="65"/>
      <c r="F82" s="65"/>
      <c r="G82" s="65">
        <v>4</v>
      </c>
      <c r="H82" s="65">
        <v>2008</v>
      </c>
      <c r="I82" s="65">
        <v>20.8</v>
      </c>
      <c r="J82" s="65">
        <f t="shared" si="4"/>
        <v>100</v>
      </c>
      <c r="K82" s="65"/>
      <c r="L82" s="65"/>
      <c r="M82" s="65"/>
      <c r="N82" s="49"/>
      <c r="O82" s="65"/>
      <c r="P82" s="65"/>
      <c r="Q82" s="49"/>
    </row>
    <row r="83" spans="3:17" ht="13.5">
      <c r="C83" s="90"/>
      <c r="D83" s="65" t="s">
        <v>539</v>
      </c>
      <c r="E83" s="65"/>
      <c r="F83" s="65"/>
      <c r="G83" s="65">
        <v>8</v>
      </c>
      <c r="H83" s="65">
        <v>2010</v>
      </c>
      <c r="I83" s="65">
        <v>27.2</v>
      </c>
      <c r="J83" s="65">
        <f t="shared" si="4"/>
        <v>100</v>
      </c>
      <c r="K83" s="65"/>
      <c r="L83" s="65"/>
      <c r="M83" s="65"/>
      <c r="N83" s="49"/>
      <c r="O83" s="65"/>
      <c r="P83" s="65"/>
      <c r="Q83" s="49"/>
    </row>
    <row r="84" spans="3:17" ht="13.5">
      <c r="C84" s="90"/>
      <c r="D84" s="65" t="s">
        <v>540</v>
      </c>
      <c r="E84" s="65"/>
      <c r="F84" s="65"/>
      <c r="G84" s="65">
        <v>4</v>
      </c>
      <c r="H84" s="65">
        <v>2010</v>
      </c>
      <c r="I84" s="65">
        <v>120</v>
      </c>
      <c r="J84" s="65">
        <f t="shared" si="4"/>
        <v>100</v>
      </c>
      <c r="K84" s="65"/>
      <c r="L84" s="65"/>
      <c r="M84" s="65"/>
      <c r="N84" s="49"/>
      <c r="O84" s="65"/>
      <c r="P84" s="65"/>
      <c r="Q84" s="49"/>
    </row>
    <row r="85" spans="3:17" ht="13.5">
      <c r="C85" s="90"/>
      <c r="D85" s="65" t="s">
        <v>541</v>
      </c>
      <c r="E85" s="65"/>
      <c r="F85" s="65"/>
      <c r="G85" s="65">
        <v>2</v>
      </c>
      <c r="H85" s="65">
        <v>2010</v>
      </c>
      <c r="I85" s="65">
        <v>60</v>
      </c>
      <c r="J85" s="65">
        <f t="shared" si="4"/>
        <v>100</v>
      </c>
      <c r="K85" s="65"/>
      <c r="L85" s="65"/>
      <c r="M85" s="65"/>
      <c r="N85" s="49"/>
      <c r="O85" s="65"/>
      <c r="P85" s="65"/>
      <c r="Q85" s="49"/>
    </row>
    <row r="86" spans="3:17" ht="13.5">
      <c r="C86" s="90"/>
      <c r="D86" s="65" t="s">
        <v>541</v>
      </c>
      <c r="E86" s="65"/>
      <c r="F86" s="65"/>
      <c r="G86" s="65">
        <v>1</v>
      </c>
      <c r="H86" s="65">
        <v>2008</v>
      </c>
      <c r="I86" s="65">
        <v>40</v>
      </c>
      <c r="J86" s="65">
        <f t="shared" si="4"/>
        <v>100</v>
      </c>
      <c r="K86" s="65"/>
      <c r="L86" s="65"/>
      <c r="M86" s="65"/>
      <c r="N86" s="49"/>
      <c r="O86" s="65"/>
      <c r="P86" s="65"/>
      <c r="Q86" s="49"/>
    </row>
    <row r="87" spans="3:17" ht="13.5">
      <c r="C87" s="90"/>
      <c r="D87" s="65" t="s">
        <v>541</v>
      </c>
      <c r="E87" s="65"/>
      <c r="F87" s="65"/>
      <c r="G87" s="65">
        <v>1</v>
      </c>
      <c r="H87" s="65">
        <v>2008</v>
      </c>
      <c r="I87" s="65">
        <v>14.05</v>
      </c>
      <c r="J87" s="65">
        <f t="shared" si="4"/>
        <v>100</v>
      </c>
      <c r="K87" s="65"/>
      <c r="L87" s="65"/>
      <c r="M87" s="65"/>
      <c r="N87" s="49"/>
      <c r="O87" s="65"/>
      <c r="P87" s="65"/>
      <c r="Q87" s="49"/>
    </row>
    <row r="88" spans="3:17" ht="13.5">
      <c r="C88" s="90"/>
      <c r="D88" s="65" t="s">
        <v>542</v>
      </c>
      <c r="E88" s="65"/>
      <c r="F88" s="65"/>
      <c r="G88" s="65">
        <v>25</v>
      </c>
      <c r="H88" s="65">
        <v>1990</v>
      </c>
      <c r="I88" s="65">
        <v>200</v>
      </c>
      <c r="J88" s="65">
        <f t="shared" si="4"/>
        <v>100</v>
      </c>
      <c r="K88" s="65"/>
      <c r="L88" s="65"/>
      <c r="M88" s="65"/>
      <c r="N88" s="49"/>
      <c r="O88" s="65"/>
      <c r="P88" s="65"/>
      <c r="Q88" s="49"/>
    </row>
    <row r="89" spans="3:17" ht="13.5">
      <c r="C89" s="90"/>
      <c r="D89" s="65" t="s">
        <v>543</v>
      </c>
      <c r="E89" s="65"/>
      <c r="F89" s="65"/>
      <c r="G89" s="65">
        <v>5</v>
      </c>
      <c r="H89" s="65">
        <v>2011</v>
      </c>
      <c r="I89" s="65">
        <v>120</v>
      </c>
      <c r="J89" s="65">
        <f t="shared" si="4"/>
        <v>100</v>
      </c>
      <c r="K89" s="65"/>
      <c r="L89" s="65"/>
      <c r="M89" s="65"/>
      <c r="N89" s="49"/>
      <c r="O89" s="65"/>
      <c r="P89" s="65"/>
      <c r="Q89" s="49"/>
    </row>
    <row r="90" spans="3:17" ht="13.5">
      <c r="C90" s="90"/>
      <c r="D90" s="65" t="s">
        <v>544</v>
      </c>
      <c r="E90" s="65"/>
      <c r="F90" s="65"/>
      <c r="G90" s="65">
        <v>5</v>
      </c>
      <c r="H90" s="65">
        <v>2008</v>
      </c>
      <c r="I90" s="65">
        <v>5</v>
      </c>
      <c r="J90" s="65">
        <f t="shared" si="4"/>
        <v>100</v>
      </c>
      <c r="K90" s="65"/>
      <c r="L90" s="65"/>
      <c r="M90" s="65"/>
      <c r="N90" s="49"/>
      <c r="O90" s="65"/>
      <c r="P90" s="65"/>
      <c r="Q90" s="49"/>
    </row>
    <row r="91" spans="3:17" ht="13.5">
      <c r="C91" s="90"/>
      <c r="D91" s="65" t="s">
        <v>545</v>
      </c>
      <c r="E91" s="65"/>
      <c r="F91" s="65"/>
      <c r="G91" s="65">
        <v>2</v>
      </c>
      <c r="H91" s="65">
        <v>2010</v>
      </c>
      <c r="I91" s="65">
        <v>38</v>
      </c>
      <c r="J91" s="65">
        <f t="shared" si="4"/>
        <v>100</v>
      </c>
      <c r="K91" s="65"/>
      <c r="L91" s="65"/>
      <c r="M91" s="65"/>
      <c r="N91" s="49"/>
      <c r="O91" s="65"/>
      <c r="P91" s="65"/>
      <c r="Q91" s="49"/>
    </row>
    <row r="92" spans="3:17" ht="13.5">
      <c r="C92" s="90"/>
      <c r="D92" s="65" t="s">
        <v>546</v>
      </c>
      <c r="E92" s="65"/>
      <c r="F92" s="65"/>
      <c r="G92" s="65">
        <v>1</v>
      </c>
      <c r="H92" s="65">
        <v>2011</v>
      </c>
      <c r="I92" s="65">
        <v>273.35</v>
      </c>
      <c r="J92" s="65">
        <f t="shared" si="4"/>
        <v>100</v>
      </c>
      <c r="K92" s="65"/>
      <c r="L92" s="65"/>
      <c r="M92" s="65"/>
      <c r="N92" s="49"/>
      <c r="O92" s="65"/>
      <c r="P92" s="65"/>
      <c r="Q92" s="49"/>
    </row>
    <row r="93" spans="3:17" ht="13.5">
      <c r="C93" s="90"/>
      <c r="D93" s="65" t="s">
        <v>547</v>
      </c>
      <c r="E93" s="65"/>
      <c r="F93" s="65"/>
      <c r="G93" s="65">
        <v>1</v>
      </c>
      <c r="H93" s="65">
        <v>2011</v>
      </c>
      <c r="I93" s="65">
        <v>15.6</v>
      </c>
      <c r="J93" s="65">
        <f t="shared" si="4"/>
        <v>100</v>
      </c>
      <c r="K93" s="65"/>
      <c r="L93" s="65"/>
      <c r="M93" s="65"/>
      <c r="N93" s="49"/>
      <c r="O93" s="65"/>
      <c r="P93" s="65"/>
      <c r="Q93" s="49"/>
    </row>
    <row r="94" spans="3:17" ht="13.5">
      <c r="C94" s="90"/>
      <c r="D94" s="65" t="s">
        <v>548</v>
      </c>
      <c r="E94" s="65"/>
      <c r="F94" s="65"/>
      <c r="G94" s="65">
        <v>1</v>
      </c>
      <c r="H94" s="65">
        <v>2011</v>
      </c>
      <c r="I94" s="65">
        <v>12</v>
      </c>
      <c r="J94" s="65">
        <f t="shared" si="4"/>
        <v>100</v>
      </c>
      <c r="K94" s="65"/>
      <c r="L94" s="65"/>
      <c r="M94" s="65"/>
      <c r="N94" s="49"/>
      <c r="O94" s="65"/>
      <c r="P94" s="65"/>
      <c r="Q94" s="49"/>
    </row>
    <row r="95" spans="3:17" ht="13.5">
      <c r="C95" s="90"/>
      <c r="D95" s="65" t="s">
        <v>549</v>
      </c>
      <c r="E95" s="65"/>
      <c r="F95" s="65"/>
      <c r="G95" s="65">
        <v>6</v>
      </c>
      <c r="H95" s="65">
        <v>2010</v>
      </c>
      <c r="I95" s="65">
        <v>36</v>
      </c>
      <c r="J95" s="65">
        <f t="shared" si="4"/>
        <v>100</v>
      </c>
      <c r="K95" s="65"/>
      <c r="L95" s="65"/>
      <c r="M95" s="65"/>
      <c r="N95" s="49"/>
      <c r="O95" s="65"/>
      <c r="P95" s="65"/>
      <c r="Q95" s="49"/>
    </row>
    <row r="96" spans="3:17" ht="13.5">
      <c r="C96" s="90"/>
      <c r="D96" s="65" t="s">
        <v>550</v>
      </c>
      <c r="E96" s="65"/>
      <c r="F96" s="65"/>
      <c r="G96" s="65">
        <v>2</v>
      </c>
      <c r="H96" s="65">
        <v>2010</v>
      </c>
      <c r="I96" s="65">
        <v>16</v>
      </c>
      <c r="J96" s="65">
        <f t="shared" si="4"/>
        <v>100</v>
      </c>
      <c r="K96" s="65"/>
      <c r="L96" s="65"/>
      <c r="M96" s="65"/>
      <c r="N96" s="49"/>
      <c r="O96" s="65"/>
      <c r="P96" s="65"/>
      <c r="Q96" s="49"/>
    </row>
    <row r="97" spans="3:17" ht="13.5">
      <c r="C97" s="90"/>
      <c r="D97" s="65" t="s">
        <v>551</v>
      </c>
      <c r="E97" s="65"/>
      <c r="F97" s="65"/>
      <c r="G97" s="65">
        <v>1</v>
      </c>
      <c r="H97" s="65">
        <v>2011</v>
      </c>
      <c r="I97" s="65">
        <v>248.6</v>
      </c>
      <c r="J97" s="65">
        <f t="shared" si="4"/>
        <v>100</v>
      </c>
      <c r="K97" s="65"/>
      <c r="L97" s="65"/>
      <c r="M97" s="65"/>
      <c r="N97" s="49"/>
      <c r="O97" s="65"/>
      <c r="P97" s="65"/>
      <c r="Q97" s="49"/>
    </row>
    <row r="98" spans="3:17" ht="13.5">
      <c r="C98" s="90"/>
      <c r="D98" s="65" t="s">
        <v>552</v>
      </c>
      <c r="E98" s="65"/>
      <c r="F98" s="65"/>
      <c r="G98" s="65">
        <v>1</v>
      </c>
      <c r="H98" s="65">
        <v>2010</v>
      </c>
      <c r="I98" s="65">
        <v>59.6</v>
      </c>
      <c r="J98" s="65">
        <f t="shared" si="4"/>
        <v>100</v>
      </c>
      <c r="K98" s="65"/>
      <c r="L98" s="65"/>
      <c r="M98" s="65"/>
      <c r="N98" s="49"/>
      <c r="O98" s="65"/>
      <c r="P98" s="65"/>
      <c r="Q98" s="49"/>
    </row>
    <row r="99" spans="3:17" ht="13.5">
      <c r="C99" s="90"/>
      <c r="D99" s="65" t="s">
        <v>552</v>
      </c>
      <c r="E99" s="65"/>
      <c r="F99" s="65"/>
      <c r="G99" s="65">
        <v>2</v>
      </c>
      <c r="H99" s="65">
        <v>2010</v>
      </c>
      <c r="I99" s="65">
        <v>48</v>
      </c>
      <c r="J99" s="65">
        <f t="shared" si="4"/>
        <v>100</v>
      </c>
      <c r="K99" s="65"/>
      <c r="L99" s="65"/>
      <c r="M99" s="65"/>
      <c r="N99" s="49"/>
      <c r="O99" s="65"/>
      <c r="P99" s="65"/>
      <c r="Q99" s="49"/>
    </row>
    <row r="100" spans="3:17" ht="13.5">
      <c r="C100" s="90"/>
      <c r="D100" s="65" t="s">
        <v>552</v>
      </c>
      <c r="E100" s="65"/>
      <c r="F100" s="65"/>
      <c r="G100" s="65">
        <v>2</v>
      </c>
      <c r="H100" s="65">
        <v>2010</v>
      </c>
      <c r="I100" s="65">
        <v>44</v>
      </c>
      <c r="J100" s="65">
        <f t="shared" si="4"/>
        <v>100</v>
      </c>
      <c r="K100" s="65"/>
      <c r="L100" s="65"/>
      <c r="M100" s="65"/>
      <c r="N100" s="49"/>
      <c r="O100" s="65"/>
      <c r="P100" s="65"/>
      <c r="Q100" s="49"/>
    </row>
    <row r="101" spans="3:17" ht="13.5">
      <c r="C101" s="90"/>
      <c r="D101" s="65" t="s">
        <v>553</v>
      </c>
      <c r="E101" s="65"/>
      <c r="F101" s="65"/>
      <c r="G101" s="65">
        <v>1</v>
      </c>
      <c r="H101" s="65">
        <v>2011</v>
      </c>
      <c r="I101" s="65">
        <v>36</v>
      </c>
      <c r="J101" s="65">
        <f t="shared" si="4"/>
        <v>100</v>
      </c>
      <c r="K101" s="65"/>
      <c r="L101" s="65"/>
      <c r="M101" s="65"/>
      <c r="N101" s="49"/>
      <c r="O101" s="65"/>
      <c r="P101" s="65"/>
      <c r="Q101" s="49"/>
    </row>
    <row r="102" spans="3:17" ht="13.5">
      <c r="C102" s="90"/>
      <c r="D102" s="65" t="s">
        <v>554</v>
      </c>
      <c r="E102" s="65"/>
      <c r="F102" s="65"/>
      <c r="G102" s="65">
        <v>5</v>
      </c>
      <c r="H102" s="65">
        <v>2013</v>
      </c>
      <c r="I102" s="65">
        <v>62.5</v>
      </c>
      <c r="J102" s="65">
        <f t="shared" si="4"/>
        <v>100</v>
      </c>
      <c r="K102" s="65"/>
      <c r="L102" s="65"/>
      <c r="M102" s="65"/>
      <c r="N102" s="49"/>
      <c r="O102" s="65"/>
      <c r="P102" s="65"/>
      <c r="Q102" s="49"/>
    </row>
    <row r="103" spans="3:17" ht="13.5">
      <c r="C103" s="90"/>
      <c r="D103" s="65" t="s">
        <v>555</v>
      </c>
      <c r="E103" s="65"/>
      <c r="F103" s="65"/>
      <c r="G103" s="65">
        <v>2</v>
      </c>
      <c r="H103" s="65">
        <v>2010</v>
      </c>
      <c r="I103" s="65">
        <v>16.3</v>
      </c>
      <c r="J103" s="65">
        <f t="shared" si="4"/>
        <v>100</v>
      </c>
      <c r="K103" s="65"/>
      <c r="L103" s="65"/>
      <c r="M103" s="65"/>
      <c r="N103" s="49"/>
      <c r="O103" s="65"/>
      <c r="P103" s="65"/>
      <c r="Q103" s="49"/>
    </row>
    <row r="104" spans="3:17" ht="13.5">
      <c r="C104" s="90"/>
      <c r="D104" s="65" t="s">
        <v>556</v>
      </c>
      <c r="E104" s="65"/>
      <c r="F104" s="65"/>
      <c r="G104" s="65">
        <v>5</v>
      </c>
      <c r="H104" s="65">
        <v>2005</v>
      </c>
      <c r="I104" s="65">
        <v>8</v>
      </c>
      <c r="J104" s="65">
        <f t="shared" si="4"/>
        <v>100</v>
      </c>
      <c r="K104" s="65"/>
      <c r="L104" s="65"/>
      <c r="M104" s="65"/>
      <c r="N104" s="49"/>
      <c r="O104" s="65"/>
      <c r="P104" s="65"/>
      <c r="Q104" s="49"/>
    </row>
    <row r="105" spans="3:17" ht="13.5">
      <c r="C105" s="90"/>
      <c r="D105" s="65" t="s">
        <v>557</v>
      </c>
      <c r="E105" s="65"/>
      <c r="F105" s="65"/>
      <c r="G105" s="65">
        <v>1</v>
      </c>
      <c r="H105" s="65">
        <v>2010</v>
      </c>
      <c r="I105" s="65">
        <v>7</v>
      </c>
      <c r="J105" s="65">
        <f t="shared" si="4"/>
        <v>100</v>
      </c>
      <c r="K105" s="65"/>
      <c r="L105" s="65"/>
      <c r="M105" s="65"/>
      <c r="N105" s="49"/>
      <c r="O105" s="65"/>
      <c r="P105" s="65"/>
      <c r="Q105" s="49"/>
    </row>
    <row r="106" spans="3:17" ht="13.5">
      <c r="C106" s="90"/>
      <c r="D106" s="65"/>
      <c r="E106" s="65"/>
      <c r="F106" s="65"/>
      <c r="G106" s="65"/>
      <c r="H106" s="65"/>
      <c r="I106" s="65"/>
      <c r="J106" s="65">
        <f t="shared" si="4"/>
        <v>100</v>
      </c>
      <c r="K106" s="65"/>
      <c r="L106" s="65"/>
      <c r="M106" s="65"/>
      <c r="N106" s="49"/>
      <c r="O106" s="65"/>
      <c r="P106" s="65"/>
      <c r="Q106" s="49"/>
    </row>
    <row r="107" spans="3:17" ht="13.5">
      <c r="C107" s="90"/>
      <c r="D107" s="65" t="s">
        <v>314</v>
      </c>
      <c r="E107" s="65"/>
      <c r="F107" s="65"/>
      <c r="G107" s="65"/>
      <c r="H107" s="65"/>
      <c r="I107" s="65"/>
      <c r="J107" s="65">
        <f t="shared" si="4"/>
        <v>100</v>
      </c>
      <c r="K107" s="65">
        <f>IF(J107=100,0,I107-I107*J107%)</f>
        <v>0</v>
      </c>
      <c r="L107" s="65"/>
      <c r="M107" s="65"/>
      <c r="N107" s="49">
        <f>+L107*M107</f>
        <v>0</v>
      </c>
      <c r="O107" s="65"/>
      <c r="P107" s="65"/>
      <c r="Q107" s="49">
        <f>+O107*P107</f>
        <v>0</v>
      </c>
    </row>
    <row r="108" spans="3:17" ht="13.5">
      <c r="C108" s="90"/>
      <c r="D108" s="65" t="s">
        <v>314</v>
      </c>
      <c r="E108" s="65"/>
      <c r="F108" s="65"/>
      <c r="G108" s="65"/>
      <c r="H108" s="65"/>
      <c r="I108" s="65"/>
      <c r="J108" s="65">
        <f t="shared" si="4"/>
        <v>100</v>
      </c>
      <c r="K108" s="65">
        <f>IF(J108=100,0,I108-I108*J108%)</f>
        <v>0</v>
      </c>
      <c r="L108" s="65"/>
      <c r="M108" s="65"/>
      <c r="N108" s="49">
        <f>+L108*M108</f>
        <v>0</v>
      </c>
      <c r="O108" s="65"/>
      <c r="P108" s="65"/>
      <c r="Q108" s="49">
        <f>+O108*P108</f>
        <v>0</v>
      </c>
    </row>
    <row r="109" spans="1:17" ht="33">
      <c r="A109" s="397"/>
      <c r="B109" s="397"/>
      <c r="C109" s="396">
        <v>621</v>
      </c>
      <c r="D109" s="380" t="s">
        <v>329</v>
      </c>
      <c r="E109" s="381">
        <v>5</v>
      </c>
      <c r="F109" s="65"/>
      <c r="G109" s="367">
        <f>SUM(G110:G112)</f>
        <v>64</v>
      </c>
      <c r="H109" s="65"/>
      <c r="I109" s="367">
        <f>SUM(I110:I112)</f>
        <v>16</v>
      </c>
      <c r="J109" s="401">
        <v>20</v>
      </c>
      <c r="K109" s="65"/>
      <c r="L109" s="367">
        <f>SUM(L110:L112)</f>
        <v>0</v>
      </c>
      <c r="M109" s="65"/>
      <c r="N109" s="367">
        <f>SUM(N110:N112)</f>
        <v>0</v>
      </c>
      <c r="O109" s="367">
        <f>SUM(O110:O112)</f>
        <v>0</v>
      </c>
      <c r="P109" s="65"/>
      <c r="Q109" s="367">
        <f>SUM(Q110:Q112)</f>
        <v>0</v>
      </c>
    </row>
    <row r="110" spans="3:17" ht="14.25">
      <c r="C110" s="90"/>
      <c r="D110" s="65" t="s">
        <v>526</v>
      </c>
      <c r="E110" s="68"/>
      <c r="F110" s="65"/>
      <c r="G110" s="65">
        <v>64</v>
      </c>
      <c r="H110" s="65">
        <v>2006</v>
      </c>
      <c r="I110" s="65">
        <v>16</v>
      </c>
      <c r="J110" s="65">
        <f>IF(($J$14-H110)*J$109&gt;100,100,($J$14-H110)*J$109)</f>
        <v>100</v>
      </c>
      <c r="K110" s="65">
        <f>IF(J110=100,0,I110-I110*J110%)</f>
        <v>0</v>
      </c>
      <c r="L110" s="65"/>
      <c r="M110" s="65"/>
      <c r="N110" s="49">
        <f aca="true" t="shared" si="5" ref="N110:N125">+L110*M110</f>
        <v>0</v>
      </c>
      <c r="O110" s="65"/>
      <c r="P110" s="65"/>
      <c r="Q110" s="49">
        <f aca="true" t="shared" si="6" ref="Q110:Q125">+O110*P110</f>
        <v>0</v>
      </c>
    </row>
    <row r="111" spans="3:17" ht="14.25">
      <c r="C111" s="90"/>
      <c r="D111" s="68" t="s">
        <v>314</v>
      </c>
      <c r="E111" s="68"/>
      <c r="F111" s="65"/>
      <c r="G111" s="65"/>
      <c r="H111" s="65"/>
      <c r="I111" s="65"/>
      <c r="J111" s="65">
        <f>IF(($J$14-H111)*J$109&gt;100,100,($J$14-H111)*J$109)</f>
        <v>100</v>
      </c>
      <c r="K111" s="65">
        <f>IF(J111=100,0,I111-I111*J111%)</f>
        <v>0</v>
      </c>
      <c r="L111" s="65"/>
      <c r="M111" s="65"/>
      <c r="N111" s="49">
        <f t="shared" si="5"/>
        <v>0</v>
      </c>
      <c r="O111" s="65"/>
      <c r="P111" s="65"/>
      <c r="Q111" s="49">
        <f t="shared" si="6"/>
        <v>0</v>
      </c>
    </row>
    <row r="112" spans="3:17" ht="14.25">
      <c r="C112" s="90"/>
      <c r="D112" s="68" t="s">
        <v>314</v>
      </c>
      <c r="E112" s="68"/>
      <c r="F112" s="65"/>
      <c r="G112" s="65"/>
      <c r="H112" s="65"/>
      <c r="I112" s="65"/>
      <c r="J112" s="65">
        <f>IF(($J$14-H112)*J$109&gt;100,100,($J$14-H112)*J$109)</f>
        <v>100</v>
      </c>
      <c r="K112" s="65">
        <f>IF(J112=100,0,I112-I112*J112%)</f>
        <v>0</v>
      </c>
      <c r="L112" s="65"/>
      <c r="M112" s="65"/>
      <c r="N112" s="49">
        <f t="shared" si="5"/>
        <v>0</v>
      </c>
      <c r="O112" s="65"/>
      <c r="P112" s="65"/>
      <c r="Q112" s="49">
        <f t="shared" si="6"/>
        <v>0</v>
      </c>
    </row>
    <row r="113" spans="1:17" ht="93.75" customHeight="1">
      <c r="A113" s="397"/>
      <c r="B113" s="397"/>
      <c r="C113" s="396">
        <v>622</v>
      </c>
      <c r="D113" s="380" t="s">
        <v>332</v>
      </c>
      <c r="E113" s="381">
        <v>8</v>
      </c>
      <c r="F113" s="65"/>
      <c r="G113" s="367">
        <f>SUM(G114:G121)</f>
        <v>16</v>
      </c>
      <c r="H113" s="65"/>
      <c r="I113" s="367">
        <f>SUM(I114:I121)</f>
        <v>74482.35</v>
      </c>
      <c r="J113" s="401">
        <v>12.5</v>
      </c>
      <c r="K113" s="65"/>
      <c r="L113" s="367">
        <f>SUM(L114:L121)</f>
        <v>0</v>
      </c>
      <c r="M113" s="65"/>
      <c r="N113" s="367">
        <f t="shared" si="5"/>
        <v>0</v>
      </c>
      <c r="O113" s="367">
        <f>SUM(O114:O121)</f>
        <v>0</v>
      </c>
      <c r="P113" s="65"/>
      <c r="Q113" s="367">
        <f t="shared" si="6"/>
        <v>0</v>
      </c>
    </row>
    <row r="114" spans="3:17" ht="14.25">
      <c r="C114" s="90"/>
      <c r="D114" s="518" t="s">
        <v>518</v>
      </c>
      <c r="E114" s="68"/>
      <c r="F114" s="65"/>
      <c r="G114" s="65">
        <v>1</v>
      </c>
      <c r="H114" s="65">
        <v>2010</v>
      </c>
      <c r="I114" s="65">
        <v>78.35</v>
      </c>
      <c r="J114" s="65">
        <f aca="true" t="shared" si="7" ref="J114:J121">IF(($J$14-H114)*J$113&gt;100,100,($J$14-H114)*J$113)</f>
        <v>100</v>
      </c>
      <c r="K114" s="65">
        <f>IF(J114=100,0,I114-I114*J114%)</f>
        <v>0</v>
      </c>
      <c r="L114" s="65"/>
      <c r="M114" s="65"/>
      <c r="N114" s="49">
        <f t="shared" si="5"/>
        <v>0</v>
      </c>
      <c r="O114" s="65"/>
      <c r="P114" s="65"/>
      <c r="Q114" s="49">
        <f t="shared" si="6"/>
        <v>0</v>
      </c>
    </row>
    <row r="115" spans="3:17" ht="14.25">
      <c r="C115" s="90"/>
      <c r="D115" s="518" t="s">
        <v>519</v>
      </c>
      <c r="E115" s="68"/>
      <c r="F115" s="65"/>
      <c r="G115" s="65">
        <v>2</v>
      </c>
      <c r="H115" s="65">
        <v>2010</v>
      </c>
      <c r="I115" s="65">
        <v>410</v>
      </c>
      <c r="J115" s="65">
        <f t="shared" si="7"/>
        <v>100</v>
      </c>
      <c r="K115" s="65"/>
      <c r="L115" s="65"/>
      <c r="M115" s="65"/>
      <c r="N115" s="49"/>
      <c r="O115" s="65"/>
      <c r="P115" s="65"/>
      <c r="Q115" s="49"/>
    </row>
    <row r="116" spans="3:17" ht="14.25">
      <c r="C116" s="90"/>
      <c r="D116" s="518" t="s">
        <v>520</v>
      </c>
      <c r="E116" s="68"/>
      <c r="F116" s="65"/>
      <c r="G116" s="65">
        <v>5</v>
      </c>
      <c r="H116" s="65">
        <v>2013</v>
      </c>
      <c r="I116" s="65">
        <v>897</v>
      </c>
      <c r="J116" s="65">
        <f t="shared" si="7"/>
        <v>100</v>
      </c>
      <c r="K116" s="65"/>
      <c r="L116" s="65"/>
      <c r="M116" s="65"/>
      <c r="N116" s="49"/>
      <c r="O116" s="65"/>
      <c r="P116" s="65"/>
      <c r="Q116" s="49"/>
    </row>
    <row r="117" spans="3:17" ht="14.25">
      <c r="C117" s="90"/>
      <c r="D117" s="521" t="s">
        <v>522</v>
      </c>
      <c r="E117" s="68"/>
      <c r="F117" s="65"/>
      <c r="G117" s="65">
        <v>1</v>
      </c>
      <c r="H117" s="65">
        <v>2019</v>
      </c>
      <c r="I117" s="65">
        <v>411</v>
      </c>
      <c r="J117" s="65">
        <f t="shared" si="7"/>
        <v>50</v>
      </c>
      <c r="K117" s="65"/>
      <c r="L117" s="65"/>
      <c r="M117" s="65"/>
      <c r="N117" s="49"/>
      <c r="O117" s="65"/>
      <c r="P117" s="65"/>
      <c r="Q117" s="49"/>
    </row>
    <row r="118" spans="3:17" ht="14.25">
      <c r="C118" s="90"/>
      <c r="D118" s="520" t="s">
        <v>523</v>
      </c>
      <c r="E118" s="68"/>
      <c r="F118" s="65"/>
      <c r="G118" s="65">
        <v>2</v>
      </c>
      <c r="H118" s="65">
        <v>2019</v>
      </c>
      <c r="I118" s="65">
        <v>72000</v>
      </c>
      <c r="J118" s="65">
        <f t="shared" si="7"/>
        <v>50</v>
      </c>
      <c r="K118" s="65"/>
      <c r="L118" s="65"/>
      <c r="M118" s="65"/>
      <c r="N118" s="49"/>
      <c r="O118" s="65"/>
      <c r="P118" s="65"/>
      <c r="Q118" s="49"/>
    </row>
    <row r="119" spans="3:17" ht="14.25">
      <c r="C119" s="90"/>
      <c r="D119" s="518" t="s">
        <v>524</v>
      </c>
      <c r="E119" s="68"/>
      <c r="F119" s="65"/>
      <c r="G119" s="65">
        <v>1</v>
      </c>
      <c r="H119" s="65">
        <v>2019</v>
      </c>
      <c r="I119" s="65">
        <v>441</v>
      </c>
      <c r="J119" s="65">
        <f t="shared" si="7"/>
        <v>50</v>
      </c>
      <c r="K119" s="65">
        <f>IF(J119=100,0,I119-I119*J119%)</f>
        <v>220.5</v>
      </c>
      <c r="L119" s="65"/>
      <c r="M119" s="65"/>
      <c r="N119" s="49">
        <f t="shared" si="5"/>
        <v>0</v>
      </c>
      <c r="O119" s="65"/>
      <c r="P119" s="65"/>
      <c r="Q119" s="49">
        <f t="shared" si="6"/>
        <v>0</v>
      </c>
    </row>
    <row r="120" spans="3:17" ht="14.25">
      <c r="C120" s="90"/>
      <c r="D120" s="518" t="s">
        <v>525</v>
      </c>
      <c r="E120" s="68"/>
      <c r="F120" s="65"/>
      <c r="G120" s="65">
        <v>2</v>
      </c>
      <c r="H120" s="65">
        <v>2020</v>
      </c>
      <c r="I120" s="65">
        <v>225</v>
      </c>
      <c r="J120" s="65">
        <f t="shared" si="7"/>
        <v>37.5</v>
      </c>
      <c r="K120" s="65"/>
      <c r="L120" s="65"/>
      <c r="M120" s="65"/>
      <c r="N120" s="49"/>
      <c r="O120" s="65"/>
      <c r="P120" s="65"/>
      <c r="Q120" s="49"/>
    </row>
    <row r="121" spans="3:17" ht="14.25">
      <c r="C121" s="90"/>
      <c r="D121" s="518" t="s">
        <v>521</v>
      </c>
      <c r="E121" s="68"/>
      <c r="F121" s="65"/>
      <c r="G121" s="65">
        <v>2</v>
      </c>
      <c r="H121" s="65">
        <v>2011</v>
      </c>
      <c r="I121" s="65">
        <v>20</v>
      </c>
      <c r="J121" s="65">
        <f t="shared" si="7"/>
        <v>100</v>
      </c>
      <c r="K121" s="65">
        <f>IF(J121=100,0,I121-I121*J121%)</f>
        <v>0</v>
      </c>
      <c r="L121" s="65"/>
      <c r="M121" s="65"/>
      <c r="N121" s="49">
        <f t="shared" si="5"/>
        <v>0</v>
      </c>
      <c r="O121" s="65"/>
      <c r="P121" s="65"/>
      <c r="Q121" s="49">
        <f t="shared" si="6"/>
        <v>0</v>
      </c>
    </row>
    <row r="122" spans="1:17" ht="29.25" customHeight="1">
      <c r="A122" s="397"/>
      <c r="B122" s="397"/>
      <c r="C122" s="396">
        <v>629</v>
      </c>
      <c r="D122" s="380" t="s">
        <v>334</v>
      </c>
      <c r="E122" s="381">
        <v>8</v>
      </c>
      <c r="F122" s="65"/>
      <c r="G122" s="367">
        <f>SUM(G123:G125)</f>
        <v>33</v>
      </c>
      <c r="H122" s="65"/>
      <c r="I122" s="367">
        <f>SUM(I123:I125)</f>
        <v>62.7</v>
      </c>
      <c r="J122" s="401">
        <v>12.5</v>
      </c>
      <c r="K122" s="65"/>
      <c r="L122" s="367">
        <f>SUM(L123:L125)</f>
        <v>0</v>
      </c>
      <c r="M122" s="65"/>
      <c r="N122" s="367">
        <f t="shared" si="5"/>
        <v>0</v>
      </c>
      <c r="O122" s="367">
        <f>SUM(O123:O125)</f>
        <v>0</v>
      </c>
      <c r="P122" s="65"/>
      <c r="Q122" s="367">
        <f t="shared" si="6"/>
        <v>0</v>
      </c>
    </row>
    <row r="123" spans="3:17" ht="14.25">
      <c r="C123" s="90"/>
      <c r="D123" s="65" t="s">
        <v>527</v>
      </c>
      <c r="E123" s="68"/>
      <c r="F123" s="65"/>
      <c r="G123" s="65">
        <v>33</v>
      </c>
      <c r="H123" s="65">
        <v>2010</v>
      </c>
      <c r="I123" s="65">
        <v>62.7</v>
      </c>
      <c r="J123" s="65">
        <f>IF(($J$14-H123)*J$122&gt;100,100,($J$14-H123)*J$122)</f>
        <v>100</v>
      </c>
      <c r="K123" s="65">
        <f>IF(J123=100,0,I123-I123*J123%)</f>
        <v>0</v>
      </c>
      <c r="L123" s="65"/>
      <c r="M123" s="65"/>
      <c r="N123" s="49">
        <f t="shared" si="5"/>
        <v>0</v>
      </c>
      <c r="O123" s="65"/>
      <c r="P123" s="65"/>
      <c r="Q123" s="49">
        <f t="shared" si="6"/>
        <v>0</v>
      </c>
    </row>
    <row r="124" spans="3:17" ht="14.25">
      <c r="C124" s="90"/>
      <c r="D124" s="68" t="s">
        <v>314</v>
      </c>
      <c r="E124" s="68"/>
      <c r="F124" s="65"/>
      <c r="G124" s="65"/>
      <c r="H124" s="65"/>
      <c r="I124" s="65"/>
      <c r="J124" s="65">
        <f>IF(($J$14-H124)*J$122&gt;100,100,($J$14-H124)*J$122)</f>
        <v>100</v>
      </c>
      <c r="K124" s="65">
        <f>IF(J124=100,0,I124-I124*J124%)</f>
        <v>0</v>
      </c>
      <c r="L124" s="65"/>
      <c r="M124" s="65"/>
      <c r="N124" s="49">
        <f t="shared" si="5"/>
        <v>0</v>
      </c>
      <c r="O124" s="65"/>
      <c r="P124" s="65"/>
      <c r="Q124" s="49">
        <f t="shared" si="6"/>
        <v>0</v>
      </c>
    </row>
    <row r="125" spans="3:17" ht="14.25">
      <c r="C125" s="90"/>
      <c r="D125" s="68" t="s">
        <v>314</v>
      </c>
      <c r="E125" s="68"/>
      <c r="F125" s="65"/>
      <c r="G125" s="65"/>
      <c r="H125" s="65"/>
      <c r="I125" s="65"/>
      <c r="J125" s="65">
        <f>IF(($J$14-H125)*J$122&gt;100,100,($J$14-H125)*J$122)</f>
        <v>100</v>
      </c>
      <c r="K125" s="65">
        <f>IF(J125=100,0,I125-I125*J125%)</f>
        <v>0</v>
      </c>
      <c r="L125" s="65"/>
      <c r="M125" s="65"/>
      <c r="N125" s="49">
        <f t="shared" si="5"/>
        <v>0</v>
      </c>
      <c r="O125" s="65"/>
      <c r="P125" s="65"/>
      <c r="Q125" s="49">
        <f t="shared" si="6"/>
        <v>0</v>
      </c>
    </row>
    <row r="126" spans="1:17" ht="32.25" customHeight="1">
      <c r="A126" s="398"/>
      <c r="B126" s="399"/>
      <c r="C126" s="384"/>
      <c r="D126" s="385" t="s">
        <v>200</v>
      </c>
      <c r="E126" s="386"/>
      <c r="F126" s="387" t="s">
        <v>1</v>
      </c>
      <c r="G126" s="400">
        <f>+G68+G15</f>
        <v>1313</v>
      </c>
      <c r="H126" s="388" t="s">
        <v>1</v>
      </c>
      <c r="I126" s="400">
        <f>+I68+I15</f>
        <v>113557.84</v>
      </c>
      <c r="J126" s="388" t="s">
        <v>1</v>
      </c>
      <c r="K126" s="388" t="s">
        <v>1</v>
      </c>
      <c r="L126" s="400" t="s">
        <v>1</v>
      </c>
      <c r="M126" s="388" t="s">
        <v>1</v>
      </c>
      <c r="N126" s="389">
        <f>+N68+N15</f>
        <v>0</v>
      </c>
      <c r="O126" s="400">
        <v>127</v>
      </c>
      <c r="P126" s="388" t="s">
        <v>1</v>
      </c>
      <c r="Q126" s="389">
        <f>+Q68+Q15</f>
        <v>9690</v>
      </c>
    </row>
    <row r="127" ht="13.5">
      <c r="Q127" s="3"/>
    </row>
  </sheetData>
  <sheetProtection/>
  <mergeCells count="8">
    <mergeCell ref="O11:Q11"/>
    <mergeCell ref="J2:L2"/>
    <mergeCell ref="D4:H4"/>
    <mergeCell ref="C5:M5"/>
    <mergeCell ref="C7:M7"/>
    <mergeCell ref="G11:K11"/>
    <mergeCell ref="L11:N11"/>
    <mergeCell ref="C8:M8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3.57421875" style="151" bestFit="1" customWidth="1"/>
    <col min="2" max="2" width="25.421875" style="152" customWidth="1"/>
    <col min="3" max="3" width="11.57421875" style="152" customWidth="1"/>
    <col min="4" max="6" width="10.57421875" style="152" customWidth="1"/>
    <col min="7" max="7" width="13.140625" style="152" customWidth="1"/>
    <col min="8" max="9" width="10.57421875" style="152" customWidth="1"/>
    <col min="10" max="10" width="10.8515625" style="152" customWidth="1"/>
    <col min="11" max="11" width="9.140625" style="152" customWidth="1"/>
    <col min="12" max="12" width="10.140625" style="152" customWidth="1"/>
    <col min="13" max="14" width="10.8515625" style="152" customWidth="1"/>
    <col min="15" max="16384" width="9.140625" style="152" customWidth="1"/>
  </cols>
  <sheetData>
    <row r="1" spans="1:14" s="215" customFormat="1" ht="13.5">
      <c r="A1" s="214"/>
      <c r="B1" s="2"/>
      <c r="C1" s="2"/>
      <c r="D1" s="72"/>
      <c r="E1" s="72"/>
      <c r="F1" s="145"/>
      <c r="G1" s="145"/>
      <c r="H1" s="100"/>
      <c r="I1" s="100"/>
      <c r="J1" s="27"/>
      <c r="K1" s="85" t="s">
        <v>117</v>
      </c>
      <c r="L1" s="2"/>
      <c r="M1" s="27"/>
      <c r="N1" s="27"/>
    </row>
    <row r="2" spans="1:14" s="215" customFormat="1" ht="12.75" customHeight="1">
      <c r="A2" s="214"/>
      <c r="B2" s="2"/>
      <c r="C2" s="2"/>
      <c r="D2" s="72"/>
      <c r="E2" s="72"/>
      <c r="F2" s="145"/>
      <c r="G2" s="145"/>
      <c r="H2" s="100"/>
      <c r="I2" s="100"/>
      <c r="J2" s="706" t="s">
        <v>9</v>
      </c>
      <c r="K2" s="706"/>
      <c r="L2" s="706"/>
      <c r="M2" s="706"/>
      <c r="N2" s="706"/>
    </row>
    <row r="3" spans="1:14" s="28" customFormat="1" ht="27.75" thickBot="1">
      <c r="A3" s="27"/>
      <c r="B3" s="139" t="s">
        <v>609</v>
      </c>
      <c r="C3" s="139"/>
      <c r="D3" s="139"/>
      <c r="E3" s="139"/>
      <c r="F3" s="19"/>
      <c r="G3" s="19"/>
      <c r="H3" s="19"/>
      <c r="I3" s="19"/>
      <c r="J3" s="19"/>
      <c r="K3" s="216"/>
      <c r="L3" s="216"/>
      <c r="M3" s="19"/>
      <c r="N3" s="19"/>
    </row>
    <row r="4" spans="1:14" s="121" customFormat="1" ht="17.25" customHeight="1">
      <c r="A4" s="27"/>
      <c r="B4" s="687" t="s">
        <v>10</v>
      </c>
      <c r="C4" s="687"/>
      <c r="D4" s="687"/>
      <c r="E4" s="687"/>
      <c r="F4" s="120"/>
      <c r="G4" s="120"/>
      <c r="H4" s="37"/>
      <c r="I4" s="120"/>
      <c r="J4" s="120"/>
      <c r="K4" s="120"/>
      <c r="L4" s="120"/>
      <c r="M4" s="120"/>
      <c r="N4" s="120"/>
    </row>
    <row r="5" spans="1:12" s="215" customFormat="1" ht="39.75" customHeight="1">
      <c r="A5" s="764" t="s">
        <v>44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</row>
    <row r="6" spans="1:14" s="148" customFormat="1" ht="13.5" customHeight="1">
      <c r="A6" s="765" t="s">
        <v>65</v>
      </c>
      <c r="B6" s="767" t="s">
        <v>123</v>
      </c>
      <c r="C6" s="768" t="s">
        <v>124</v>
      </c>
      <c r="D6" s="765" t="s">
        <v>125</v>
      </c>
      <c r="E6" s="762" t="s">
        <v>126</v>
      </c>
      <c r="F6" s="762" t="s">
        <v>127</v>
      </c>
      <c r="G6" s="766" t="s">
        <v>130</v>
      </c>
      <c r="H6" s="766"/>
      <c r="I6" s="762" t="s">
        <v>131</v>
      </c>
      <c r="J6" s="762" t="s">
        <v>279</v>
      </c>
      <c r="K6" s="762" t="s">
        <v>290</v>
      </c>
      <c r="L6" s="762" t="s">
        <v>132</v>
      </c>
      <c r="M6" s="762" t="s">
        <v>280</v>
      </c>
      <c r="N6" s="762" t="s">
        <v>291</v>
      </c>
    </row>
    <row r="7" spans="1:14" s="148" customFormat="1" ht="61.5" customHeight="1">
      <c r="A7" s="765"/>
      <c r="B7" s="767"/>
      <c r="C7" s="769"/>
      <c r="D7" s="765"/>
      <c r="E7" s="763"/>
      <c r="F7" s="763"/>
      <c r="G7" s="69" t="s">
        <v>128</v>
      </c>
      <c r="H7" s="69" t="s">
        <v>129</v>
      </c>
      <c r="I7" s="763"/>
      <c r="J7" s="763"/>
      <c r="K7" s="763"/>
      <c r="L7" s="763"/>
      <c r="M7" s="763"/>
      <c r="N7" s="763"/>
    </row>
    <row r="8" spans="1:14" s="148" customFormat="1" ht="13.5">
      <c r="A8" s="69">
        <v>1</v>
      </c>
      <c r="B8" s="147">
        <v>2</v>
      </c>
      <c r="C8" s="149">
        <v>3</v>
      </c>
      <c r="D8" s="69">
        <v>4</v>
      </c>
      <c r="E8" s="147">
        <v>5</v>
      </c>
      <c r="F8" s="149">
        <v>6</v>
      </c>
      <c r="G8" s="69">
        <v>7</v>
      </c>
      <c r="H8" s="147">
        <v>8</v>
      </c>
      <c r="I8" s="149">
        <v>9</v>
      </c>
      <c r="J8" s="69">
        <v>10</v>
      </c>
      <c r="K8" s="147">
        <v>11</v>
      </c>
      <c r="L8" s="149">
        <v>12</v>
      </c>
      <c r="M8" s="147">
        <v>13</v>
      </c>
      <c r="N8" s="149">
        <v>14</v>
      </c>
    </row>
    <row r="9" spans="1:14" s="4" customFormat="1" ht="13.5">
      <c r="A9" s="47">
        <v>1</v>
      </c>
      <c r="B9" s="65"/>
      <c r="C9" s="66"/>
      <c r="D9" s="49"/>
      <c r="E9" s="49"/>
      <c r="F9" s="49"/>
      <c r="G9" s="150"/>
      <c r="H9" s="49">
        <f>C9*E9*F9</f>
        <v>0</v>
      </c>
      <c r="I9" s="150">
        <f>D9+G9</f>
        <v>0</v>
      </c>
      <c r="J9" s="49">
        <f>IF($I9=2022,$H9,0)</f>
        <v>0</v>
      </c>
      <c r="K9" s="49"/>
      <c r="L9" s="49">
        <f>J9-K9</f>
        <v>0</v>
      </c>
      <c r="M9" s="49">
        <f>IF($I9=2023,$H9,0)</f>
        <v>0</v>
      </c>
      <c r="N9" s="49">
        <f>IF($I9=2024,$H9,0)</f>
        <v>0</v>
      </c>
    </row>
    <row r="10" spans="1:14" s="4" customFormat="1" ht="13.5">
      <c r="A10" s="47">
        <v>2</v>
      </c>
      <c r="B10" s="65"/>
      <c r="C10" s="66"/>
      <c r="D10" s="49"/>
      <c r="E10" s="49"/>
      <c r="F10" s="49"/>
      <c r="G10" s="150"/>
      <c r="H10" s="49">
        <f>C10*E10*F10</f>
        <v>0</v>
      </c>
      <c r="I10" s="150">
        <f>D10+G10</f>
        <v>0</v>
      </c>
      <c r="J10" s="49">
        <f aca="true" t="shared" si="0" ref="J10:J22">IF($I10=2022,$H10,0)</f>
        <v>0</v>
      </c>
      <c r="K10" s="49"/>
      <c r="L10" s="49">
        <f aca="true" t="shared" si="1" ref="L10:L22">J10-K10</f>
        <v>0</v>
      </c>
      <c r="M10" s="49">
        <f aca="true" t="shared" si="2" ref="M10:M22">IF($I10=2023,$H10,0)</f>
        <v>0</v>
      </c>
      <c r="N10" s="49">
        <f aca="true" t="shared" si="3" ref="N10:N22">IF($I10=2024,$H10,0)</f>
        <v>0</v>
      </c>
    </row>
    <row r="11" spans="1:14" s="4" customFormat="1" ht="13.5">
      <c r="A11" s="47">
        <v>3</v>
      </c>
      <c r="B11" s="65"/>
      <c r="C11" s="66"/>
      <c r="D11" s="49"/>
      <c r="E11" s="49"/>
      <c r="F11" s="49"/>
      <c r="G11" s="49"/>
      <c r="H11" s="49">
        <f>C11*E11*F11</f>
        <v>0</v>
      </c>
      <c r="I11" s="150">
        <f>D11+G11</f>
        <v>0</v>
      </c>
      <c r="J11" s="49">
        <f t="shared" si="0"/>
        <v>0</v>
      </c>
      <c r="K11" s="49"/>
      <c r="L11" s="49">
        <f t="shared" si="1"/>
        <v>0</v>
      </c>
      <c r="M11" s="49">
        <f t="shared" si="2"/>
        <v>0</v>
      </c>
      <c r="N11" s="49">
        <f t="shared" si="3"/>
        <v>0</v>
      </c>
    </row>
    <row r="12" spans="1:14" s="4" customFormat="1" ht="13.5">
      <c r="A12" s="47"/>
      <c r="B12" s="65"/>
      <c r="C12" s="66"/>
      <c r="D12" s="49"/>
      <c r="E12" s="49"/>
      <c r="F12" s="49"/>
      <c r="G12" s="49"/>
      <c r="H12" s="49">
        <f aca="true" t="shared" si="4" ref="H12:H22">C12*E12*F12</f>
        <v>0</v>
      </c>
      <c r="I12" s="150">
        <f aca="true" t="shared" si="5" ref="I12:I22">D12+G12</f>
        <v>0</v>
      </c>
      <c r="J12" s="49">
        <f t="shared" si="0"/>
        <v>0</v>
      </c>
      <c r="K12" s="49"/>
      <c r="L12" s="49">
        <f t="shared" si="1"/>
        <v>0</v>
      </c>
      <c r="M12" s="49">
        <f t="shared" si="2"/>
        <v>0</v>
      </c>
      <c r="N12" s="49">
        <f t="shared" si="3"/>
        <v>0</v>
      </c>
    </row>
    <row r="13" spans="1:14" s="4" customFormat="1" ht="13.5">
      <c r="A13" s="47"/>
      <c r="B13" s="65"/>
      <c r="C13" s="66"/>
      <c r="D13" s="49"/>
      <c r="E13" s="49"/>
      <c r="F13" s="49"/>
      <c r="G13" s="49"/>
      <c r="H13" s="49">
        <f t="shared" si="4"/>
        <v>0</v>
      </c>
      <c r="I13" s="150">
        <f t="shared" si="5"/>
        <v>0</v>
      </c>
      <c r="J13" s="49">
        <f t="shared" si="0"/>
        <v>0</v>
      </c>
      <c r="K13" s="49"/>
      <c r="L13" s="49">
        <f t="shared" si="1"/>
        <v>0</v>
      </c>
      <c r="M13" s="49">
        <f t="shared" si="2"/>
        <v>0</v>
      </c>
      <c r="N13" s="49">
        <f t="shared" si="3"/>
        <v>0</v>
      </c>
    </row>
    <row r="14" spans="1:14" s="4" customFormat="1" ht="13.5">
      <c r="A14" s="47"/>
      <c r="B14" s="65"/>
      <c r="C14" s="66"/>
      <c r="D14" s="49"/>
      <c r="E14" s="49"/>
      <c r="F14" s="49"/>
      <c r="G14" s="49"/>
      <c r="H14" s="49">
        <f t="shared" si="4"/>
        <v>0</v>
      </c>
      <c r="I14" s="150">
        <f t="shared" si="5"/>
        <v>0</v>
      </c>
      <c r="J14" s="49">
        <f t="shared" si="0"/>
        <v>0</v>
      </c>
      <c r="K14" s="49"/>
      <c r="L14" s="49">
        <f t="shared" si="1"/>
        <v>0</v>
      </c>
      <c r="M14" s="49">
        <f t="shared" si="2"/>
        <v>0</v>
      </c>
      <c r="N14" s="49">
        <f t="shared" si="3"/>
        <v>0</v>
      </c>
    </row>
    <row r="15" spans="1:14" s="4" customFormat="1" ht="13.5">
      <c r="A15" s="47"/>
      <c r="B15" s="65"/>
      <c r="C15" s="66"/>
      <c r="D15" s="49"/>
      <c r="E15" s="49"/>
      <c r="F15" s="49"/>
      <c r="G15" s="49"/>
      <c r="H15" s="49">
        <f t="shared" si="4"/>
        <v>0</v>
      </c>
      <c r="I15" s="150">
        <f t="shared" si="5"/>
        <v>0</v>
      </c>
      <c r="J15" s="49">
        <f t="shared" si="0"/>
        <v>0</v>
      </c>
      <c r="K15" s="49"/>
      <c r="L15" s="49">
        <f t="shared" si="1"/>
        <v>0</v>
      </c>
      <c r="M15" s="49">
        <f t="shared" si="2"/>
        <v>0</v>
      </c>
      <c r="N15" s="49">
        <f t="shared" si="3"/>
        <v>0</v>
      </c>
    </row>
    <row r="16" spans="1:14" s="4" customFormat="1" ht="13.5">
      <c r="A16" s="47"/>
      <c r="B16" s="65"/>
      <c r="C16" s="66"/>
      <c r="D16" s="49"/>
      <c r="E16" s="49"/>
      <c r="F16" s="49"/>
      <c r="G16" s="49"/>
      <c r="H16" s="49">
        <f t="shared" si="4"/>
        <v>0</v>
      </c>
      <c r="I16" s="150">
        <f t="shared" si="5"/>
        <v>0</v>
      </c>
      <c r="J16" s="49">
        <f t="shared" si="0"/>
        <v>0</v>
      </c>
      <c r="K16" s="49"/>
      <c r="L16" s="49">
        <f t="shared" si="1"/>
        <v>0</v>
      </c>
      <c r="M16" s="49">
        <f t="shared" si="2"/>
        <v>0</v>
      </c>
      <c r="N16" s="49">
        <f t="shared" si="3"/>
        <v>0</v>
      </c>
    </row>
    <row r="17" spans="1:14" s="4" customFormat="1" ht="13.5">
      <c r="A17" s="47"/>
      <c r="B17" s="65"/>
      <c r="C17" s="66"/>
      <c r="D17" s="49"/>
      <c r="E17" s="49"/>
      <c r="F17" s="49"/>
      <c r="G17" s="49"/>
      <c r="H17" s="49">
        <f t="shared" si="4"/>
        <v>0</v>
      </c>
      <c r="I17" s="150">
        <f t="shared" si="5"/>
        <v>0</v>
      </c>
      <c r="J17" s="49">
        <f t="shared" si="0"/>
        <v>0</v>
      </c>
      <c r="K17" s="49"/>
      <c r="L17" s="49">
        <f t="shared" si="1"/>
        <v>0</v>
      </c>
      <c r="M17" s="49">
        <f t="shared" si="2"/>
        <v>0</v>
      </c>
      <c r="N17" s="49">
        <f t="shared" si="3"/>
        <v>0</v>
      </c>
    </row>
    <row r="18" spans="1:14" s="4" customFormat="1" ht="13.5">
      <c r="A18" s="47"/>
      <c r="B18" s="65"/>
      <c r="C18" s="66"/>
      <c r="D18" s="49"/>
      <c r="E18" s="49"/>
      <c r="F18" s="49"/>
      <c r="G18" s="49"/>
      <c r="H18" s="49">
        <f t="shared" si="4"/>
        <v>0</v>
      </c>
      <c r="I18" s="150">
        <f t="shared" si="5"/>
        <v>0</v>
      </c>
      <c r="J18" s="49">
        <f t="shared" si="0"/>
        <v>0</v>
      </c>
      <c r="K18" s="49"/>
      <c r="L18" s="49">
        <f t="shared" si="1"/>
        <v>0</v>
      </c>
      <c r="M18" s="49">
        <f t="shared" si="2"/>
        <v>0</v>
      </c>
      <c r="N18" s="49">
        <f t="shared" si="3"/>
        <v>0</v>
      </c>
    </row>
    <row r="19" spans="1:14" s="4" customFormat="1" ht="13.5">
      <c r="A19" s="47"/>
      <c r="B19" s="65"/>
      <c r="C19" s="66"/>
      <c r="D19" s="49"/>
      <c r="E19" s="49"/>
      <c r="F19" s="49"/>
      <c r="G19" s="49"/>
      <c r="H19" s="49">
        <f t="shared" si="4"/>
        <v>0</v>
      </c>
      <c r="I19" s="150">
        <f t="shared" si="5"/>
        <v>0</v>
      </c>
      <c r="J19" s="49">
        <f t="shared" si="0"/>
        <v>0</v>
      </c>
      <c r="K19" s="49"/>
      <c r="L19" s="49">
        <f t="shared" si="1"/>
        <v>0</v>
      </c>
      <c r="M19" s="49">
        <f t="shared" si="2"/>
        <v>0</v>
      </c>
      <c r="N19" s="49">
        <f t="shared" si="3"/>
        <v>0</v>
      </c>
    </row>
    <row r="20" spans="1:14" s="4" customFormat="1" ht="13.5">
      <c r="A20" s="47"/>
      <c r="B20" s="65"/>
      <c r="C20" s="66"/>
      <c r="D20" s="49"/>
      <c r="E20" s="49"/>
      <c r="F20" s="49"/>
      <c r="G20" s="49"/>
      <c r="H20" s="49">
        <f t="shared" si="4"/>
        <v>0</v>
      </c>
      <c r="I20" s="150">
        <f t="shared" si="5"/>
        <v>0</v>
      </c>
      <c r="J20" s="49">
        <f t="shared" si="0"/>
        <v>0</v>
      </c>
      <c r="K20" s="49"/>
      <c r="L20" s="49">
        <f t="shared" si="1"/>
        <v>0</v>
      </c>
      <c r="M20" s="49">
        <f t="shared" si="2"/>
        <v>0</v>
      </c>
      <c r="N20" s="49">
        <f t="shared" si="3"/>
        <v>0</v>
      </c>
    </row>
    <row r="21" spans="1:14" s="4" customFormat="1" ht="13.5">
      <c r="A21" s="47"/>
      <c r="B21" s="65"/>
      <c r="C21" s="66"/>
      <c r="D21" s="49"/>
      <c r="E21" s="49"/>
      <c r="F21" s="49"/>
      <c r="G21" s="49"/>
      <c r="H21" s="49">
        <f t="shared" si="4"/>
        <v>0</v>
      </c>
      <c r="I21" s="150">
        <f t="shared" si="5"/>
        <v>0</v>
      </c>
      <c r="J21" s="49">
        <f t="shared" si="0"/>
        <v>0</v>
      </c>
      <c r="K21" s="49"/>
      <c r="L21" s="49">
        <f t="shared" si="1"/>
        <v>0</v>
      </c>
      <c r="M21" s="49">
        <f t="shared" si="2"/>
        <v>0</v>
      </c>
      <c r="N21" s="49">
        <f t="shared" si="3"/>
        <v>0</v>
      </c>
    </row>
    <row r="22" spans="1:14" s="4" customFormat="1" ht="13.5">
      <c r="A22" s="47"/>
      <c r="B22" s="65"/>
      <c r="C22" s="66"/>
      <c r="D22" s="49"/>
      <c r="E22" s="49"/>
      <c r="F22" s="49"/>
      <c r="G22" s="49"/>
      <c r="H22" s="49">
        <f t="shared" si="4"/>
        <v>0</v>
      </c>
      <c r="I22" s="150">
        <f t="shared" si="5"/>
        <v>0</v>
      </c>
      <c r="J22" s="49">
        <f t="shared" si="0"/>
        <v>0</v>
      </c>
      <c r="K22" s="49"/>
      <c r="L22" s="49">
        <f t="shared" si="1"/>
        <v>0</v>
      </c>
      <c r="M22" s="49">
        <f t="shared" si="2"/>
        <v>0</v>
      </c>
      <c r="N22" s="49">
        <f t="shared" si="3"/>
        <v>0</v>
      </c>
    </row>
    <row r="23" spans="1:14" s="4" customFormat="1" ht="27">
      <c r="A23" s="47"/>
      <c r="B23" s="10" t="s">
        <v>133</v>
      </c>
      <c r="C23" s="53">
        <f>SUM(C9:C22)</f>
        <v>0</v>
      </c>
      <c r="D23" s="10" t="s">
        <v>1</v>
      </c>
      <c r="E23" s="10" t="s">
        <v>1</v>
      </c>
      <c r="F23" s="10" t="s">
        <v>1</v>
      </c>
      <c r="G23" s="10" t="s">
        <v>1</v>
      </c>
      <c r="H23" s="53">
        <f>SUM(H9:H22)</f>
        <v>0</v>
      </c>
      <c r="I23" s="10"/>
      <c r="J23" s="10">
        <f>SUM(J9:J22)</f>
        <v>0</v>
      </c>
      <c r="K23" s="10">
        <f>SUM(K9:K22)</f>
        <v>0</v>
      </c>
      <c r="L23" s="10">
        <f>SUM(L9:L22)</f>
        <v>0</v>
      </c>
      <c r="M23" s="10">
        <f>SUM(M9:M22)</f>
        <v>0</v>
      </c>
      <c r="N23" s="10">
        <f>SUM(N9:N22)</f>
        <v>0</v>
      </c>
    </row>
    <row r="24" s="4" customFormat="1" ht="13.5">
      <c r="A24" s="3"/>
    </row>
    <row r="26" spans="1:2" s="342" customFormat="1" ht="27" customHeight="1">
      <c r="A26" s="341"/>
      <c r="B26" s="342" t="s">
        <v>292</v>
      </c>
    </row>
  </sheetData>
  <sheetProtection/>
  <mergeCells count="17">
    <mergeCell ref="J2:L2"/>
    <mergeCell ref="M6:M7"/>
    <mergeCell ref="J6:J7"/>
    <mergeCell ref="B6:B7"/>
    <mergeCell ref="C6:C7"/>
    <mergeCell ref="D6:D7"/>
    <mergeCell ref="E6:E7"/>
    <mergeCell ref="N6:N7"/>
    <mergeCell ref="M2:N2"/>
    <mergeCell ref="K6:K7"/>
    <mergeCell ref="L6:L7"/>
    <mergeCell ref="A5:L5"/>
    <mergeCell ref="A6:A7"/>
    <mergeCell ref="B4:E4"/>
    <mergeCell ref="F6:F7"/>
    <mergeCell ref="G6:H6"/>
    <mergeCell ref="I6:I7"/>
  </mergeCells>
  <printOptions/>
  <pageMargins left="0.25" right="0.32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6.28125" style="151" customWidth="1"/>
    <col min="2" max="2" width="23.421875" style="152" customWidth="1"/>
    <col min="3" max="3" width="21.00390625" style="152" customWidth="1"/>
    <col min="4" max="4" width="16.00390625" style="152" customWidth="1"/>
    <col min="5" max="5" width="12.28125" style="152" customWidth="1"/>
    <col min="6" max="6" width="29.8515625" style="152" customWidth="1"/>
    <col min="7" max="7" width="25.28125" style="152" customWidth="1"/>
    <col min="8" max="10" width="16.140625" style="152" customWidth="1"/>
    <col min="11" max="11" width="12.140625" style="152" customWidth="1"/>
    <col min="12" max="12" width="26.8515625" style="152" customWidth="1"/>
    <col min="13" max="16384" width="9.140625" style="152" customWidth="1"/>
  </cols>
  <sheetData>
    <row r="1" spans="1:14" s="217" customFormat="1" ht="17.25">
      <c r="A1" s="153"/>
      <c r="B1" s="770" t="s">
        <v>240</v>
      </c>
      <c r="C1" s="770"/>
      <c r="D1" s="85"/>
      <c r="E1" s="27"/>
      <c r="G1" s="85"/>
      <c r="H1" s="85"/>
      <c r="I1" s="85"/>
      <c r="J1" s="85"/>
      <c r="K1" s="85"/>
      <c r="L1" s="85" t="s">
        <v>296</v>
      </c>
      <c r="M1" s="85"/>
      <c r="N1" s="2"/>
    </row>
    <row r="2" spans="1:14" s="217" customFormat="1" ht="17.25" customHeight="1">
      <c r="A2" s="153"/>
      <c r="D2" s="240"/>
      <c r="G2" s="240"/>
      <c r="H2" s="240"/>
      <c r="I2" s="240"/>
      <c r="J2" s="240"/>
      <c r="K2" s="240"/>
      <c r="L2" s="343" t="s">
        <v>9</v>
      </c>
      <c r="M2" s="343"/>
      <c r="N2" s="343"/>
    </row>
    <row r="3" spans="1:14" s="217" customFormat="1" ht="52.5" thickBot="1">
      <c r="A3" s="153"/>
      <c r="B3" s="154" t="s">
        <v>609</v>
      </c>
      <c r="C3" s="154"/>
      <c r="D3" s="154"/>
      <c r="E3" s="154"/>
      <c r="F3" s="154"/>
      <c r="G3" s="154"/>
      <c r="H3" s="154"/>
      <c r="I3" s="154"/>
      <c r="J3" s="154"/>
      <c r="K3" s="154"/>
      <c r="L3" s="19"/>
      <c r="M3" s="216"/>
      <c r="N3" s="216"/>
    </row>
    <row r="4" spans="1:12" s="218" customFormat="1" ht="27" customHeight="1">
      <c r="A4" s="153"/>
      <c r="B4" s="241" t="s">
        <v>10</v>
      </c>
      <c r="C4" s="241"/>
      <c r="D4" s="155"/>
      <c r="E4" s="155"/>
      <c r="F4" s="241"/>
      <c r="G4" s="155"/>
      <c r="H4" s="155"/>
      <c r="I4" s="155"/>
      <c r="J4" s="155"/>
      <c r="K4" s="155"/>
      <c r="L4" s="155"/>
    </row>
    <row r="5" spans="1:12" s="217" customFormat="1" ht="22.5" customHeight="1">
      <c r="A5" s="264" t="s">
        <v>180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s="217" customFormat="1" ht="22.5" customHeight="1">
      <c r="A6" s="264" t="s">
        <v>198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spans="1:12" s="218" customFormat="1" ht="17.25">
      <c r="A7" s="15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2" s="156" customFormat="1" ht="17.25">
      <c r="A8" s="15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1:12" s="156" customFormat="1" ht="17.25">
      <c r="A9" s="153"/>
      <c r="B9" s="770"/>
      <c r="C9" s="770"/>
      <c r="D9" s="253"/>
      <c r="E9" s="155"/>
      <c r="F9" s="155"/>
      <c r="G9" s="253"/>
      <c r="H9" s="253"/>
      <c r="I9" s="253"/>
      <c r="J9" s="253"/>
      <c r="K9" s="253"/>
      <c r="L9" s="253" t="s">
        <v>197</v>
      </c>
    </row>
    <row r="10" spans="1:12" s="156" customFormat="1" ht="17.25">
      <c r="A10" s="153"/>
      <c r="B10" s="155"/>
      <c r="C10" s="155"/>
      <c r="D10" s="253"/>
      <c r="E10" s="155"/>
      <c r="F10" s="155"/>
      <c r="G10" s="253"/>
      <c r="H10" s="253"/>
      <c r="I10" s="253"/>
      <c r="J10" s="253"/>
      <c r="K10" s="253"/>
      <c r="L10" s="253"/>
    </row>
    <row r="11" spans="1:12" s="121" customFormat="1" ht="132" customHeight="1">
      <c r="A11" s="157" t="s">
        <v>64</v>
      </c>
      <c r="B11" s="191" t="s">
        <v>203</v>
      </c>
      <c r="C11" s="191" t="s">
        <v>199</v>
      </c>
      <c r="D11" s="191" t="s">
        <v>201</v>
      </c>
      <c r="E11" s="191" t="s">
        <v>202</v>
      </c>
      <c r="F11" s="191" t="s">
        <v>220</v>
      </c>
      <c r="G11" s="191" t="s">
        <v>223</v>
      </c>
      <c r="H11" s="191" t="s">
        <v>224</v>
      </c>
      <c r="I11" s="191" t="s">
        <v>225</v>
      </c>
      <c r="J11" s="191" t="s">
        <v>226</v>
      </c>
      <c r="K11" s="191" t="s">
        <v>227</v>
      </c>
      <c r="L11" s="191" t="s">
        <v>274</v>
      </c>
    </row>
    <row r="12" spans="1:12" s="335" customFormat="1" ht="13.5">
      <c r="A12" s="16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7.1</v>
      </c>
      <c r="I12" s="91">
        <v>7.2</v>
      </c>
      <c r="J12" s="91">
        <v>7.3</v>
      </c>
      <c r="K12" s="91">
        <v>7.4</v>
      </c>
      <c r="L12" s="91">
        <v>8</v>
      </c>
    </row>
    <row r="13" spans="1:12" s="121" customFormat="1" ht="32.25" customHeight="1">
      <c r="A13" s="282"/>
      <c r="B13" s="283" t="s">
        <v>218</v>
      </c>
      <c r="C13" s="283"/>
      <c r="D13" s="283" t="s">
        <v>1</v>
      </c>
      <c r="E13" s="283">
        <f>SUM(E14:E17)</f>
        <v>0</v>
      </c>
      <c r="F13" s="283"/>
      <c r="G13" s="283"/>
      <c r="H13" s="283"/>
      <c r="I13" s="283"/>
      <c r="J13" s="283"/>
      <c r="K13" s="283"/>
      <c r="L13" s="283"/>
    </row>
    <row r="14" spans="1:12" ht="17.25">
      <c r="A14" s="158">
        <v>1</v>
      </c>
      <c r="B14" s="159"/>
      <c r="C14" s="159"/>
      <c r="D14" s="158" t="s">
        <v>1</v>
      </c>
      <c r="E14" s="159"/>
      <c r="F14" s="158"/>
      <c r="G14" s="158">
        <f>SUM(H14:K14)</f>
        <v>0</v>
      </c>
      <c r="H14" s="158"/>
      <c r="I14" s="158"/>
      <c r="J14" s="158"/>
      <c r="K14" s="158"/>
      <c r="L14" s="158"/>
    </row>
    <row r="15" spans="1:12" ht="17.25">
      <c r="A15" s="158">
        <v>2</v>
      </c>
      <c r="B15" s="159"/>
      <c r="C15" s="159"/>
      <c r="D15" s="158" t="s">
        <v>1</v>
      </c>
      <c r="E15" s="159"/>
      <c r="F15" s="158"/>
      <c r="G15" s="158">
        <f aca="true" t="shared" si="0" ref="G15:G22">SUM(H15:K15)</f>
        <v>0</v>
      </c>
      <c r="H15" s="158"/>
      <c r="I15" s="158"/>
      <c r="J15" s="158"/>
      <c r="K15" s="158"/>
      <c r="L15" s="158"/>
    </row>
    <row r="16" spans="1:12" ht="17.25">
      <c r="A16" s="158">
        <v>3</v>
      </c>
      <c r="B16" s="159"/>
      <c r="C16" s="159"/>
      <c r="D16" s="158" t="s">
        <v>1</v>
      </c>
      <c r="E16" s="159"/>
      <c r="F16" s="158"/>
      <c r="G16" s="158">
        <f t="shared" si="0"/>
        <v>0</v>
      </c>
      <c r="H16" s="158"/>
      <c r="I16" s="158"/>
      <c r="J16" s="158"/>
      <c r="K16" s="158"/>
      <c r="L16" s="158"/>
    </row>
    <row r="17" spans="1:12" ht="17.25">
      <c r="A17" s="158" t="s">
        <v>176</v>
      </c>
      <c r="B17" s="159"/>
      <c r="C17" s="159"/>
      <c r="D17" s="158" t="s">
        <v>1</v>
      </c>
      <c r="E17" s="159"/>
      <c r="F17" s="158"/>
      <c r="G17" s="158">
        <f t="shared" si="0"/>
        <v>0</v>
      </c>
      <c r="H17" s="158"/>
      <c r="I17" s="158"/>
      <c r="J17" s="158"/>
      <c r="K17" s="158"/>
      <c r="L17" s="158"/>
    </row>
    <row r="18" spans="1:12" s="121" customFormat="1" ht="32.25" customHeight="1">
      <c r="A18" s="282"/>
      <c r="B18" s="283" t="s">
        <v>219</v>
      </c>
      <c r="C18" s="283"/>
      <c r="D18" s="283" t="s">
        <v>1</v>
      </c>
      <c r="E18" s="283">
        <f>SUM(E19:E22)</f>
        <v>0</v>
      </c>
      <c r="F18" s="283"/>
      <c r="G18" s="283"/>
      <c r="H18" s="283"/>
      <c r="I18" s="283"/>
      <c r="J18" s="283"/>
      <c r="K18" s="283"/>
      <c r="L18" s="283"/>
    </row>
    <row r="19" spans="1:12" ht="17.25">
      <c r="A19" s="158">
        <v>1</v>
      </c>
      <c r="B19" s="159"/>
      <c r="C19" s="159"/>
      <c r="D19" s="158" t="s">
        <v>1</v>
      </c>
      <c r="E19" s="159"/>
      <c r="F19" s="158"/>
      <c r="G19" s="158">
        <f t="shared" si="0"/>
        <v>0</v>
      </c>
      <c r="H19" s="158"/>
      <c r="I19" s="158"/>
      <c r="J19" s="158"/>
      <c r="K19" s="158"/>
      <c r="L19" s="158"/>
    </row>
    <row r="20" spans="1:12" ht="17.25">
      <c r="A20" s="158">
        <v>2</v>
      </c>
      <c r="B20" s="159"/>
      <c r="C20" s="159"/>
      <c r="D20" s="158" t="s">
        <v>1</v>
      </c>
      <c r="E20" s="159"/>
      <c r="F20" s="158"/>
      <c r="G20" s="158">
        <f t="shared" si="0"/>
        <v>0</v>
      </c>
      <c r="H20" s="158"/>
      <c r="I20" s="158"/>
      <c r="J20" s="158"/>
      <c r="K20" s="158"/>
      <c r="L20" s="158"/>
    </row>
    <row r="21" spans="1:12" ht="17.25">
      <c r="A21" s="158">
        <v>3</v>
      </c>
      <c r="B21" s="159"/>
      <c r="C21" s="159"/>
      <c r="D21" s="158" t="s">
        <v>1</v>
      </c>
      <c r="E21" s="159"/>
      <c r="F21" s="158"/>
      <c r="G21" s="158">
        <f t="shared" si="0"/>
        <v>0</v>
      </c>
      <c r="H21" s="158"/>
      <c r="I21" s="158"/>
      <c r="J21" s="158"/>
      <c r="K21" s="158"/>
      <c r="L21" s="158"/>
    </row>
    <row r="22" spans="1:12" ht="17.25">
      <c r="A22" s="158" t="s">
        <v>176</v>
      </c>
      <c r="B22" s="159"/>
      <c r="C22" s="159"/>
      <c r="D22" s="158" t="s">
        <v>1</v>
      </c>
      <c r="E22" s="159"/>
      <c r="F22" s="158"/>
      <c r="G22" s="158">
        <f t="shared" si="0"/>
        <v>0</v>
      </c>
      <c r="H22" s="158"/>
      <c r="I22" s="158"/>
      <c r="J22" s="158"/>
      <c r="K22" s="158"/>
      <c r="L22" s="158"/>
    </row>
    <row r="23" spans="1:12" s="121" customFormat="1" ht="32.25" customHeight="1">
      <c r="A23" s="282"/>
      <c r="B23" s="283" t="s">
        <v>217</v>
      </c>
      <c r="C23" s="283"/>
      <c r="D23" s="283"/>
      <c r="E23" s="283">
        <f>SUM(E24:E27)</f>
        <v>0</v>
      </c>
      <c r="F23" s="283"/>
      <c r="G23" s="283"/>
      <c r="H23" s="283"/>
      <c r="I23" s="283"/>
      <c r="J23" s="283"/>
      <c r="K23" s="283"/>
      <c r="L23" s="283"/>
    </row>
    <row r="24" spans="1:12" ht="17.25">
      <c r="A24" s="158">
        <v>1</v>
      </c>
      <c r="B24" s="159"/>
      <c r="C24" s="159"/>
      <c r="D24" s="158"/>
      <c r="E24" s="159"/>
      <c r="F24" s="158"/>
      <c r="G24" s="158">
        <f>SUM(H24:K24)</f>
        <v>0</v>
      </c>
      <c r="H24" s="158"/>
      <c r="I24" s="158"/>
      <c r="J24" s="158"/>
      <c r="K24" s="158"/>
      <c r="L24" s="158"/>
    </row>
    <row r="25" spans="1:12" ht="17.25">
      <c r="A25" s="158">
        <v>2</v>
      </c>
      <c r="B25" s="159"/>
      <c r="C25" s="159"/>
      <c r="D25" s="158"/>
      <c r="E25" s="159"/>
      <c r="F25" s="158"/>
      <c r="G25" s="158">
        <f>SUM(H25:K25)</f>
        <v>0</v>
      </c>
      <c r="H25" s="158"/>
      <c r="I25" s="158"/>
      <c r="J25" s="158"/>
      <c r="K25" s="158"/>
      <c r="L25" s="158"/>
    </row>
    <row r="26" spans="1:12" ht="17.25">
      <c r="A26" s="158">
        <v>3</v>
      </c>
      <c r="B26" s="159"/>
      <c r="C26" s="159"/>
      <c r="D26" s="158"/>
      <c r="E26" s="159"/>
      <c r="F26" s="158"/>
      <c r="G26" s="158">
        <f>SUM(H26:K26)</f>
        <v>0</v>
      </c>
      <c r="H26" s="158"/>
      <c r="I26" s="158"/>
      <c r="J26" s="158"/>
      <c r="K26" s="158"/>
      <c r="L26" s="158"/>
    </row>
    <row r="27" spans="1:12" ht="17.25">
      <c r="A27" s="158" t="s">
        <v>176</v>
      </c>
      <c r="B27" s="159"/>
      <c r="C27" s="159"/>
      <c r="D27" s="158"/>
      <c r="E27" s="159"/>
      <c r="F27" s="158"/>
      <c r="G27" s="158">
        <f>SUM(H27:K27)</f>
        <v>0</v>
      </c>
      <c r="H27" s="158"/>
      <c r="I27" s="158"/>
      <c r="J27" s="158"/>
      <c r="K27" s="158"/>
      <c r="L27" s="158"/>
    </row>
    <row r="28" spans="1:12" s="121" customFormat="1" ht="32.25" customHeight="1">
      <c r="A28" s="282"/>
      <c r="B28" s="284" t="s">
        <v>200</v>
      </c>
      <c r="C28" s="283"/>
      <c r="D28" s="285">
        <f>SUM(D24:D27)</f>
        <v>0</v>
      </c>
      <c r="E28" s="283"/>
      <c r="F28" s="283"/>
      <c r="G28" s="283"/>
      <c r="H28" s="283"/>
      <c r="I28" s="283"/>
      <c r="J28" s="283"/>
      <c r="K28" s="283"/>
      <c r="L28" s="283"/>
    </row>
  </sheetData>
  <sheetProtection/>
  <mergeCells count="2">
    <mergeCell ref="B9:C9"/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6.28125" style="151" customWidth="1"/>
    <col min="2" max="2" width="36.00390625" style="152" customWidth="1"/>
    <col min="3" max="3" width="80.140625" style="152" customWidth="1"/>
    <col min="4" max="4" width="24.28125" style="152" customWidth="1"/>
    <col min="5" max="16384" width="9.140625" style="152" customWidth="1"/>
  </cols>
  <sheetData>
    <row r="1" spans="1:4" s="217" customFormat="1" ht="17.25">
      <c r="A1" s="153"/>
      <c r="B1" s="770"/>
      <c r="C1" s="770"/>
      <c r="D1" s="361" t="s">
        <v>122</v>
      </c>
    </row>
    <row r="2" spans="1:4" s="217" customFormat="1" ht="17.25" customHeight="1">
      <c r="A2" s="153"/>
      <c r="D2" s="364" t="s">
        <v>9</v>
      </c>
    </row>
    <row r="3" spans="1:3" s="217" customFormat="1" ht="35.25" thickBot="1">
      <c r="A3" s="153"/>
      <c r="B3" s="154" t="s">
        <v>609</v>
      </c>
      <c r="C3" s="154"/>
    </row>
    <row r="4" spans="1:3" s="218" customFormat="1" ht="27" customHeight="1">
      <c r="A4" s="153"/>
      <c r="B4" s="241" t="s">
        <v>10</v>
      </c>
      <c r="C4" s="241"/>
    </row>
    <row r="5" spans="1:3" s="217" customFormat="1" ht="22.5" customHeight="1">
      <c r="A5" s="264" t="s">
        <v>180</v>
      </c>
      <c r="B5" s="264"/>
      <c r="C5" s="264"/>
    </row>
    <row r="6" spans="1:3" s="217" customFormat="1" ht="34.5" customHeight="1">
      <c r="A6" s="264" t="s">
        <v>572</v>
      </c>
      <c r="B6" s="264"/>
      <c r="C6" s="264"/>
    </row>
    <row r="7" spans="1:3" s="218" customFormat="1" ht="17.25">
      <c r="A7" s="153"/>
      <c r="B7" s="155"/>
      <c r="C7" s="155"/>
    </row>
    <row r="8" spans="1:3" ht="54.75" customHeight="1">
      <c r="A8" s="237"/>
      <c r="B8" s="191" t="s">
        <v>573</v>
      </c>
      <c r="C8" s="358" t="s">
        <v>574</v>
      </c>
    </row>
    <row r="9" spans="1:3" ht="38.25" customHeight="1">
      <c r="A9" s="237"/>
      <c r="B9" s="191">
        <v>0</v>
      </c>
      <c r="C9" s="358">
        <v>0</v>
      </c>
    </row>
    <row r="10" spans="1:3" ht="51.75" customHeight="1">
      <c r="A10" s="237">
        <v>3</v>
      </c>
      <c r="B10" s="191" t="s">
        <v>309</v>
      </c>
      <c r="C10" s="358" t="s">
        <v>495</v>
      </c>
    </row>
    <row r="11" spans="1:3" ht="38.25" customHeight="1">
      <c r="A11" s="237">
        <v>4</v>
      </c>
      <c r="B11" s="191" t="s">
        <v>306</v>
      </c>
      <c r="C11" s="522">
        <v>8550</v>
      </c>
    </row>
    <row r="12" spans="1:3" ht="47.25" customHeight="1">
      <c r="A12" s="237">
        <v>5</v>
      </c>
      <c r="B12" s="191" t="s">
        <v>310</v>
      </c>
      <c r="C12" s="358"/>
    </row>
    <row r="13" spans="1:3" ht="67.5" customHeight="1">
      <c r="A13" s="151" t="s">
        <v>6</v>
      </c>
      <c r="B13" s="359" t="s">
        <v>311</v>
      </c>
      <c r="C13" s="360"/>
    </row>
    <row r="14" spans="1:3" ht="34.5" customHeight="1">
      <c r="A14" s="355" t="s">
        <v>308</v>
      </c>
      <c r="B14" s="356"/>
      <c r="C14" s="357"/>
    </row>
    <row r="15" spans="1:3" ht="41.25">
      <c r="A15" s="355"/>
      <c r="B15" s="21" t="s">
        <v>307</v>
      </c>
      <c r="C15" s="69" t="s">
        <v>559</v>
      </c>
    </row>
    <row r="16" spans="1:3" ht="51.75">
      <c r="A16" s="158">
        <v>1</v>
      </c>
      <c r="B16" s="523" t="s">
        <v>558</v>
      </c>
      <c r="C16" s="524">
        <v>2940.7</v>
      </c>
    </row>
    <row r="17" spans="1:3" ht="17.25">
      <c r="A17" s="158">
        <v>2</v>
      </c>
      <c r="B17" s="159"/>
      <c r="C17" s="159"/>
    </row>
    <row r="18" spans="1:3" ht="17.25">
      <c r="A18" s="158">
        <v>3</v>
      </c>
      <c r="B18" s="159"/>
      <c r="C18" s="159"/>
    </row>
    <row r="19" spans="1:3" ht="17.25">
      <c r="A19" s="158" t="s">
        <v>176</v>
      </c>
      <c r="B19" s="159"/>
      <c r="C19" s="159"/>
    </row>
    <row r="20" spans="1:3" s="121" customFormat="1" ht="32.25" customHeight="1">
      <c r="A20" s="282"/>
      <c r="B20" s="284" t="s">
        <v>200</v>
      </c>
      <c r="C20" s="283">
        <f>SUM(C16:C19)</f>
        <v>2940.7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140625" style="4" customWidth="1"/>
    <col min="2" max="2" width="39.140625" style="4" customWidth="1"/>
    <col min="3" max="3" width="16.57421875" style="4" customWidth="1"/>
    <col min="4" max="4" width="18.421875" style="4" customWidth="1"/>
    <col min="5" max="5" width="19.7109375" style="4" customWidth="1"/>
    <col min="6" max="6" width="23.57421875" style="4" customWidth="1"/>
    <col min="7" max="7" width="12.421875" style="4" customWidth="1"/>
    <col min="8" max="8" width="26.7109375" style="4" customWidth="1"/>
    <col min="9" max="9" width="11.28125" style="4" customWidth="1"/>
    <col min="10" max="10" width="14.00390625" style="4" customWidth="1"/>
    <col min="11" max="11" width="10.7109375" style="4" customWidth="1"/>
    <col min="12" max="12" width="10.28125" style="4" customWidth="1"/>
    <col min="13" max="16384" width="9.140625" style="4" customWidth="1"/>
  </cols>
  <sheetData>
    <row r="1" ht="16.5" customHeight="1">
      <c r="F1" s="85" t="s">
        <v>195</v>
      </c>
    </row>
    <row r="2" spans="2:6" ht="18.75" customHeight="1" thickBot="1">
      <c r="B2" s="154" t="s">
        <v>340</v>
      </c>
      <c r="F2" s="343" t="s">
        <v>9</v>
      </c>
    </row>
    <row r="6" spans="1:6" ht="30.75" customHeight="1">
      <c r="A6" s="771" t="s">
        <v>297</v>
      </c>
      <c r="B6" s="771"/>
      <c r="C6" s="771"/>
      <c r="D6" s="771"/>
      <c r="E6" s="771"/>
      <c r="F6" s="771"/>
    </row>
    <row r="7" spans="1:6" ht="38.25" customHeight="1">
      <c r="A7" s="771" t="s">
        <v>339</v>
      </c>
      <c r="B7" s="771"/>
      <c r="C7" s="771"/>
      <c r="D7" s="771"/>
      <c r="E7" s="771"/>
      <c r="F7" s="771"/>
    </row>
    <row r="8" spans="1:6" ht="21" customHeight="1">
      <c r="A8" s="345"/>
      <c r="B8" s="345"/>
      <c r="C8" s="345"/>
      <c r="D8" s="345"/>
      <c r="E8" s="345"/>
      <c r="F8" s="345"/>
    </row>
    <row r="9" spans="1:6" ht="23.25" customHeight="1">
      <c r="A9" s="345"/>
      <c r="B9" s="345"/>
      <c r="C9" s="345"/>
      <c r="D9" s="345"/>
      <c r="E9" s="345"/>
      <c r="F9" s="345"/>
    </row>
    <row r="10" spans="1:6" ht="19.5" customHeight="1">
      <c r="A10" s="772" t="s">
        <v>5</v>
      </c>
      <c r="B10" s="772" t="s">
        <v>303</v>
      </c>
      <c r="C10" s="774" t="s">
        <v>289</v>
      </c>
      <c r="D10" s="775"/>
      <c r="E10" s="775"/>
      <c r="F10" s="776"/>
    </row>
    <row r="11" spans="1:6" ht="61.5" customHeight="1">
      <c r="A11" s="773"/>
      <c r="B11" s="773"/>
      <c r="C11" s="344" t="s">
        <v>298</v>
      </c>
      <c r="D11" s="344" t="s">
        <v>302</v>
      </c>
      <c r="E11" s="344" t="s">
        <v>301</v>
      </c>
      <c r="F11" s="349" t="s">
        <v>299</v>
      </c>
    </row>
    <row r="12" spans="1:6" ht="18" customHeight="1">
      <c r="A12" s="348" t="s">
        <v>300</v>
      </c>
      <c r="B12" s="348">
        <v>1</v>
      </c>
      <c r="C12" s="348">
        <v>2</v>
      </c>
      <c r="D12" s="348">
        <v>3</v>
      </c>
      <c r="E12" s="348">
        <v>4</v>
      </c>
      <c r="F12" s="348">
        <v>5</v>
      </c>
    </row>
    <row r="13" spans="1:6" ht="50.25" customHeight="1">
      <c r="A13" s="350">
        <v>1</v>
      </c>
      <c r="B13" s="354" t="s">
        <v>304</v>
      </c>
      <c r="C13" s="352">
        <v>38</v>
      </c>
      <c r="D13" s="352">
        <v>56</v>
      </c>
      <c r="E13" s="352">
        <v>11000</v>
      </c>
      <c r="F13" s="353">
        <f>D13*E13/1000</f>
        <v>616</v>
      </c>
    </row>
    <row r="14" spans="1:6" ht="45" customHeight="1">
      <c r="A14" s="350">
        <v>2</v>
      </c>
      <c r="B14" s="354" t="s">
        <v>305</v>
      </c>
      <c r="C14" s="352">
        <v>0</v>
      </c>
      <c r="D14" s="352">
        <v>0</v>
      </c>
      <c r="E14" s="352">
        <v>0</v>
      </c>
      <c r="F14" s="353">
        <f>D14*E14/1000</f>
        <v>0</v>
      </c>
    </row>
    <row r="15" spans="1:6" ht="36.75" customHeight="1">
      <c r="A15" s="346"/>
      <c r="B15" s="347" t="s">
        <v>63</v>
      </c>
      <c r="C15" s="351">
        <f>SUM(C13:C14)</f>
        <v>38</v>
      </c>
      <c r="D15" s="351" t="s">
        <v>1</v>
      </c>
      <c r="E15" s="351" t="s">
        <v>1</v>
      </c>
      <c r="F15" s="351">
        <f>SUM(F13:F14)</f>
        <v>616</v>
      </c>
    </row>
    <row r="18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1">
      <selection activeCell="B63" sqref="B63"/>
    </sheetView>
  </sheetViews>
  <sheetFormatPr defaultColWidth="9.140625" defaultRowHeight="12.75"/>
  <cols>
    <col min="1" max="1" width="5.28125" style="151" customWidth="1"/>
    <col min="2" max="2" width="71.7109375" style="152" customWidth="1"/>
    <col min="3" max="3" width="18.00390625" style="152" customWidth="1"/>
    <col min="4" max="16384" width="9.140625" style="152" customWidth="1"/>
  </cols>
  <sheetData>
    <row r="1" spans="1:3" s="217" customFormat="1" ht="17.25">
      <c r="A1" s="153"/>
      <c r="C1" s="85" t="s">
        <v>122</v>
      </c>
    </row>
    <row r="2" spans="1:3" s="217" customFormat="1" ht="17.25">
      <c r="A2" s="153"/>
      <c r="C2" s="240" t="s">
        <v>9</v>
      </c>
    </row>
    <row r="3" spans="1:3" s="217" customFormat="1" ht="18" thickBot="1">
      <c r="A3" s="153"/>
      <c r="B3" s="154" t="s">
        <v>671</v>
      </c>
      <c r="C3" s="154"/>
    </row>
    <row r="4" spans="1:8" s="239" customFormat="1" ht="17.25" customHeight="1">
      <c r="A4" s="216"/>
      <c r="B4" s="780" t="s">
        <v>10</v>
      </c>
      <c r="C4" s="780"/>
      <c r="D4" s="223"/>
      <c r="E4" s="223"/>
      <c r="F4" s="223"/>
      <c r="G4" s="223"/>
      <c r="H4" s="223"/>
    </row>
    <row r="5" spans="1:3" s="217" customFormat="1" ht="24" customHeight="1">
      <c r="A5" s="778" t="s">
        <v>101</v>
      </c>
      <c r="B5" s="778"/>
      <c r="C5" s="778"/>
    </row>
    <row r="6" spans="1:3" s="217" customFormat="1" ht="17.25">
      <c r="A6" s="779" t="s">
        <v>182</v>
      </c>
      <c r="B6" s="779"/>
      <c r="C6" s="779"/>
    </row>
    <row r="7" spans="1:3" s="218" customFormat="1" ht="17.25">
      <c r="A7" s="153"/>
      <c r="B7" s="155"/>
      <c r="C7" s="155"/>
    </row>
    <row r="8" spans="1:3" s="156" customFormat="1" ht="17.25">
      <c r="A8" s="153"/>
      <c r="B8" s="492"/>
      <c r="C8" s="492"/>
    </row>
    <row r="9" spans="1:3" s="156" customFormat="1" ht="31.5" customHeight="1">
      <c r="A9" s="153"/>
      <c r="B9" s="777" t="s">
        <v>189</v>
      </c>
      <c r="C9" s="777"/>
    </row>
    <row r="10" spans="1:3" s="156" customFormat="1" ht="17.25">
      <c r="A10" s="153"/>
      <c r="B10" s="155"/>
      <c r="C10" s="155"/>
    </row>
    <row r="11" spans="1:3" s="121" customFormat="1" ht="35.25" customHeight="1">
      <c r="A11" s="157" t="s">
        <v>64</v>
      </c>
      <c r="B11" s="26" t="s">
        <v>134</v>
      </c>
      <c r="C11" s="26" t="s">
        <v>135</v>
      </c>
    </row>
    <row r="12" spans="1:3" s="121" customFormat="1" ht="13.5">
      <c r="A12" s="157">
        <v>1</v>
      </c>
      <c r="B12" s="26">
        <v>2</v>
      </c>
      <c r="C12" s="26">
        <v>3</v>
      </c>
    </row>
    <row r="13" spans="1:3" ht="17.25">
      <c r="A13" s="158" t="s">
        <v>2</v>
      </c>
      <c r="B13" s="493" t="s">
        <v>250</v>
      </c>
      <c r="C13" s="158">
        <f>+C14+C15</f>
        <v>3</v>
      </c>
    </row>
    <row r="14" spans="1:3" ht="17.25">
      <c r="A14" s="158"/>
      <c r="B14" s="494" t="s">
        <v>259</v>
      </c>
      <c r="C14" s="158">
        <v>1</v>
      </c>
    </row>
    <row r="15" spans="1:3" ht="17.25">
      <c r="A15" s="158"/>
      <c r="B15" s="494" t="s">
        <v>260</v>
      </c>
      <c r="C15" s="158">
        <v>2</v>
      </c>
    </row>
    <row r="16" spans="1:3" ht="17.25">
      <c r="A16" s="158" t="s">
        <v>3</v>
      </c>
      <c r="B16" s="493" t="s">
        <v>183</v>
      </c>
      <c r="C16" s="158">
        <f>+C17+C18+C19</f>
        <v>7</v>
      </c>
    </row>
    <row r="17" spans="1:3" ht="17.25">
      <c r="A17" s="158"/>
      <c r="B17" s="494" t="s">
        <v>184</v>
      </c>
      <c r="C17" s="158">
        <v>3</v>
      </c>
    </row>
    <row r="18" spans="1:3" ht="17.25">
      <c r="A18" s="158"/>
      <c r="B18" s="494" t="s">
        <v>185</v>
      </c>
      <c r="C18" s="158">
        <v>4</v>
      </c>
    </row>
    <row r="19" spans="1:3" ht="17.25">
      <c r="A19" s="158"/>
      <c r="B19" s="494" t="s">
        <v>186</v>
      </c>
      <c r="C19" s="158"/>
    </row>
    <row r="20" spans="1:3" ht="17.25">
      <c r="A20" s="495"/>
      <c r="B20" s="496"/>
      <c r="C20" s="495"/>
    </row>
    <row r="21" spans="1:3" ht="17.25">
      <c r="A21" s="158"/>
      <c r="B21" s="494" t="s">
        <v>242</v>
      </c>
      <c r="C21" s="158">
        <v>1</v>
      </c>
    </row>
    <row r="22" spans="1:3" ht="17.25">
      <c r="A22" s="158"/>
      <c r="B22" s="494" t="s">
        <v>243</v>
      </c>
      <c r="C22" s="158">
        <v>0</v>
      </c>
    </row>
    <row r="23" spans="1:3" ht="35.25" customHeight="1">
      <c r="A23" s="158" t="s">
        <v>4</v>
      </c>
      <c r="B23" s="493" t="s">
        <v>244</v>
      </c>
      <c r="C23" s="158">
        <f>+C25+C39</f>
        <v>73</v>
      </c>
    </row>
    <row r="24" spans="1:3" ht="17.25">
      <c r="A24" s="158"/>
      <c r="B24" s="493" t="s">
        <v>245</v>
      </c>
      <c r="C24" s="158"/>
    </row>
    <row r="25" spans="1:3" ht="34.5">
      <c r="A25" s="497" t="s">
        <v>248</v>
      </c>
      <c r="B25" s="498" t="s">
        <v>246</v>
      </c>
      <c r="C25" s="158">
        <f>+C26+C34</f>
        <v>49</v>
      </c>
    </row>
    <row r="26" spans="1:3" ht="17.25">
      <c r="A26" s="157"/>
      <c r="B26" s="493" t="s">
        <v>136</v>
      </c>
      <c r="C26" s="158">
        <f>SUM(C28:C32)</f>
        <v>43</v>
      </c>
    </row>
    <row r="27" spans="1:8" ht="17.25">
      <c r="A27" s="158"/>
      <c r="B27" s="132" t="s">
        <v>116</v>
      </c>
      <c r="C27" s="158"/>
      <c r="F27" s="499"/>
      <c r="H27" s="500"/>
    </row>
    <row r="28" spans="1:3" ht="34.5">
      <c r="A28" s="160">
        <v>1</v>
      </c>
      <c r="B28" s="523" t="s">
        <v>674</v>
      </c>
      <c r="C28" s="158">
        <v>12</v>
      </c>
    </row>
    <row r="29" spans="1:3" ht="34.5">
      <c r="A29" s="160">
        <v>2</v>
      </c>
      <c r="B29" s="523" t="s">
        <v>675</v>
      </c>
      <c r="C29" s="158">
        <v>6</v>
      </c>
    </row>
    <row r="30" spans="1:3" ht="34.5">
      <c r="A30" s="160">
        <v>3</v>
      </c>
      <c r="B30" s="501" t="s">
        <v>676</v>
      </c>
      <c r="C30" s="158">
        <v>6</v>
      </c>
    </row>
    <row r="31" spans="1:3" ht="34.5">
      <c r="A31" s="160">
        <v>4</v>
      </c>
      <c r="B31" s="523" t="s">
        <v>677</v>
      </c>
      <c r="C31" s="158">
        <v>10</v>
      </c>
    </row>
    <row r="32" spans="1:3" ht="17.25">
      <c r="A32" s="160">
        <v>5</v>
      </c>
      <c r="B32" s="159" t="s">
        <v>470</v>
      </c>
      <c r="C32" s="158">
        <v>9</v>
      </c>
    </row>
    <row r="33" spans="1:3" ht="17.25">
      <c r="A33" s="158"/>
      <c r="B33" s="502"/>
      <c r="C33" s="158"/>
    </row>
    <row r="34" spans="1:3" ht="17.25">
      <c r="A34" s="157"/>
      <c r="B34" s="493" t="s">
        <v>137</v>
      </c>
      <c r="C34" s="158">
        <f>SUM(C36:C37)</f>
        <v>6</v>
      </c>
    </row>
    <row r="35" spans="1:3" ht="17.25">
      <c r="A35" s="158"/>
      <c r="B35" s="132" t="s">
        <v>116</v>
      </c>
      <c r="C35" s="158"/>
    </row>
    <row r="36" spans="1:3" ht="17.25">
      <c r="A36" s="160">
        <v>1</v>
      </c>
      <c r="B36" s="159" t="s">
        <v>472</v>
      </c>
      <c r="C36" s="158">
        <v>3</v>
      </c>
    </row>
    <row r="37" spans="1:3" ht="17.25">
      <c r="A37" s="160">
        <v>2</v>
      </c>
      <c r="B37" s="159" t="s">
        <v>473</v>
      </c>
      <c r="C37" s="158">
        <v>3</v>
      </c>
    </row>
    <row r="38" spans="1:3" ht="17.25">
      <c r="A38" s="160"/>
      <c r="B38" s="159"/>
      <c r="C38" s="158"/>
    </row>
    <row r="39" spans="1:3" ht="34.5">
      <c r="A39" s="497" t="s">
        <v>247</v>
      </c>
      <c r="B39" s="498" t="s">
        <v>249</v>
      </c>
      <c r="C39" s="158">
        <f>+C40+C46+C48</f>
        <v>24</v>
      </c>
    </row>
    <row r="40" spans="1:3" ht="17.25">
      <c r="A40" s="157"/>
      <c r="B40" s="493" t="s">
        <v>136</v>
      </c>
      <c r="C40" s="158">
        <f>SUM(C42:C45)</f>
        <v>24</v>
      </c>
    </row>
    <row r="41" spans="1:8" ht="17.25">
      <c r="A41" s="158"/>
      <c r="B41" s="132" t="s">
        <v>116</v>
      </c>
      <c r="C41" s="158"/>
      <c r="F41" s="499"/>
      <c r="H41" s="500"/>
    </row>
    <row r="42" spans="1:3" ht="17.25">
      <c r="A42" s="160">
        <v>1</v>
      </c>
      <c r="B42" s="159" t="s">
        <v>672</v>
      </c>
      <c r="C42" s="158">
        <v>9</v>
      </c>
    </row>
    <row r="43" spans="1:3" ht="34.5">
      <c r="A43" s="160">
        <v>2</v>
      </c>
      <c r="B43" s="523" t="s">
        <v>673</v>
      </c>
      <c r="C43" s="158">
        <v>12</v>
      </c>
    </row>
    <row r="44" spans="1:3" ht="17.25">
      <c r="A44" s="160">
        <v>3</v>
      </c>
      <c r="B44" s="159" t="s">
        <v>471</v>
      </c>
      <c r="C44" s="158">
        <v>3</v>
      </c>
    </row>
    <row r="45" spans="1:3" ht="17.25">
      <c r="A45" s="160">
        <v>4</v>
      </c>
      <c r="B45" s="159"/>
      <c r="C45" s="158"/>
    </row>
    <row r="46" spans="1:3" ht="17.25" hidden="1">
      <c r="A46" s="157"/>
      <c r="B46" s="493"/>
      <c r="C46" s="503"/>
    </row>
    <row r="47" spans="1:3" ht="17.25" hidden="1">
      <c r="A47" s="158"/>
      <c r="B47" s="502"/>
      <c r="C47" s="158"/>
    </row>
    <row r="48" spans="1:3" ht="17.25" hidden="1">
      <c r="A48" s="157"/>
      <c r="B48" s="493"/>
      <c r="C48" s="158">
        <f>SUM(C50:C53)</f>
        <v>0</v>
      </c>
    </row>
    <row r="49" spans="1:3" ht="17.25" hidden="1">
      <c r="A49" s="158"/>
      <c r="B49" s="132"/>
      <c r="C49" s="158"/>
    </row>
    <row r="50" spans="1:3" ht="17.25" hidden="1">
      <c r="A50" s="160">
        <v>1</v>
      </c>
      <c r="B50" s="159"/>
      <c r="C50" s="158"/>
    </row>
    <row r="51" spans="1:3" ht="17.25" hidden="1">
      <c r="A51" s="160">
        <v>2</v>
      </c>
      <c r="B51" s="159"/>
      <c r="C51" s="158"/>
    </row>
    <row r="52" spans="1:3" ht="17.25" hidden="1">
      <c r="A52" s="160">
        <v>3</v>
      </c>
      <c r="B52" s="159"/>
      <c r="C52" s="158"/>
    </row>
    <row r="53" spans="1:3" ht="17.25" hidden="1">
      <c r="A53" s="160">
        <v>4</v>
      </c>
      <c r="B53" s="159"/>
      <c r="C53" s="158"/>
    </row>
    <row r="54" spans="1:3" ht="17.25" hidden="1">
      <c r="A54" s="157"/>
      <c r="B54" s="493"/>
      <c r="C54" s="503"/>
    </row>
    <row r="55" spans="1:3" ht="17.25" hidden="1">
      <c r="A55" s="158" t="s">
        <v>187</v>
      </c>
      <c r="B55" s="504"/>
      <c r="C55" s="158">
        <f>SUM(C57:C61)</f>
        <v>0</v>
      </c>
    </row>
    <row r="56" spans="1:3" ht="17.25" hidden="1">
      <c r="A56" s="158"/>
      <c r="B56" s="505" t="s">
        <v>116</v>
      </c>
      <c r="C56" s="158"/>
    </row>
    <row r="57" spans="1:3" ht="17.25" hidden="1">
      <c r="A57" s="160"/>
      <c r="B57" s="159"/>
      <c r="C57" s="158"/>
    </row>
    <row r="58" spans="1:3" ht="17.25" hidden="1">
      <c r="A58" s="160"/>
      <c r="B58" s="159"/>
      <c r="C58" s="158"/>
    </row>
    <row r="59" spans="1:3" ht="17.25" hidden="1">
      <c r="A59" s="160"/>
      <c r="B59" s="159"/>
      <c r="C59" s="158"/>
    </row>
    <row r="60" spans="1:3" ht="17.25" hidden="1">
      <c r="A60" s="160"/>
      <c r="B60" s="159"/>
      <c r="C60" s="158"/>
    </row>
    <row r="61" spans="1:3" ht="17.25" hidden="1">
      <c r="A61" s="160"/>
      <c r="B61" s="159"/>
      <c r="C61" s="158"/>
    </row>
    <row r="62" spans="1:3" ht="34.5">
      <c r="A62" s="158" t="s">
        <v>7</v>
      </c>
      <c r="B62" s="498" t="s">
        <v>678</v>
      </c>
      <c r="C62" s="158">
        <v>14</v>
      </c>
    </row>
    <row r="63" spans="1:3" ht="17.25">
      <c r="A63" s="158"/>
      <c r="B63" s="132"/>
      <c r="C63" s="158"/>
    </row>
    <row r="64" spans="1:3" s="507" customFormat="1" ht="30.75" customHeight="1">
      <c r="A64" s="497"/>
      <c r="B64" s="506" t="s">
        <v>188</v>
      </c>
      <c r="C64" s="497">
        <f>+C13+C16+C21+C22+C23+C55+C62</f>
        <v>98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6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50" sqref="M150"/>
    </sheetView>
  </sheetViews>
  <sheetFormatPr defaultColWidth="9.140625" defaultRowHeight="12.75"/>
  <cols>
    <col min="1" max="1" width="7.140625" style="0" customWidth="1"/>
    <col min="2" max="2" width="25.140625" style="0" customWidth="1"/>
    <col min="3" max="3" width="13.7109375" style="0" customWidth="1"/>
    <col min="4" max="4" width="12.421875" style="0" customWidth="1"/>
    <col min="5" max="5" width="11.57421875" style="0" customWidth="1"/>
    <col min="6" max="6" width="15.00390625" style="0" customWidth="1"/>
    <col min="9" max="9" width="9.140625" style="0" customWidth="1"/>
    <col min="10" max="10" width="14.7109375" style="0" customWidth="1"/>
    <col min="11" max="11" width="13.57421875" style="0" customWidth="1"/>
    <col min="12" max="12" width="12.421875" style="0" customWidth="1"/>
    <col min="13" max="13" width="15.28125" style="0" customWidth="1"/>
    <col min="17" max="17" width="16.28125" style="0" customWidth="1"/>
    <col min="18" max="18" width="13.140625" style="0" customWidth="1"/>
    <col min="19" max="19" width="13.57421875" style="0" customWidth="1"/>
    <col min="20" max="20" width="15.28125" style="0" customWidth="1"/>
    <col min="21" max="21" width="11.421875" style="0" customWidth="1"/>
    <col min="22" max="22" width="12.8515625" style="0" customWidth="1"/>
    <col min="23" max="23" width="12.140625" style="0" customWidth="1"/>
    <col min="24" max="24" width="12.28125" style="0" customWidth="1"/>
    <col min="25" max="25" width="11.421875" style="0" customWidth="1"/>
    <col min="26" max="26" width="10.140625" style="0" customWidth="1"/>
    <col min="29" max="29" width="14.00390625" style="0" customWidth="1"/>
    <col min="30" max="30" width="11.421875" style="0" customWidth="1"/>
    <col min="31" max="31" width="11.7109375" style="0" customWidth="1"/>
    <col min="32" max="32" width="12.8515625" style="0" customWidth="1"/>
    <col min="36" max="36" width="12.8515625" style="0" customWidth="1"/>
    <col min="37" max="37" width="10.8515625" style="0" customWidth="1"/>
    <col min="38" max="38" width="10.421875" style="0" customWidth="1"/>
    <col min="39" max="39" width="12.00390625" style="0" customWidth="1"/>
  </cols>
  <sheetData>
    <row r="1" spans="1:39" s="4" customFormat="1" ht="16.5">
      <c r="A1" s="27"/>
      <c r="B1" s="326" t="s">
        <v>140</v>
      </c>
      <c r="C1" s="326"/>
      <c r="D1" s="326"/>
      <c r="E1" s="28"/>
      <c r="F1" s="28"/>
      <c r="G1" s="28"/>
      <c r="H1" s="28"/>
      <c r="I1" s="28"/>
      <c r="J1" s="28"/>
      <c r="K1" s="86"/>
      <c r="L1" s="28"/>
      <c r="M1" s="85" t="s">
        <v>195</v>
      </c>
      <c r="N1" s="86"/>
      <c r="O1" s="406"/>
      <c r="P1" s="28"/>
      <c r="Q1" s="28"/>
      <c r="R1" s="28"/>
      <c r="S1" s="86"/>
      <c r="T1" s="86"/>
      <c r="U1" s="86"/>
      <c r="V1" s="28"/>
      <c r="W1" s="85"/>
      <c r="X1" s="86"/>
      <c r="Y1" s="28"/>
      <c r="Z1" s="28"/>
      <c r="AA1" s="406"/>
      <c r="AB1" s="28"/>
      <c r="AC1" s="28"/>
      <c r="AD1" s="2"/>
      <c r="AE1" s="86"/>
      <c r="AF1" s="86"/>
      <c r="AG1" s="28"/>
      <c r="AH1" s="28"/>
      <c r="AI1" s="28"/>
      <c r="AJ1" s="28"/>
      <c r="AK1" s="2"/>
      <c r="AL1" s="86"/>
      <c r="AM1" s="86"/>
    </row>
    <row r="2" spans="1:39" s="4" customFormat="1" ht="24" customHeight="1" thickBot="1">
      <c r="A2" s="27"/>
      <c r="B2" s="407" t="s">
        <v>671</v>
      </c>
      <c r="C2" s="407"/>
      <c r="D2" s="407"/>
      <c r="E2" s="117"/>
      <c r="F2" s="117"/>
      <c r="G2" s="19"/>
      <c r="H2" s="117"/>
      <c r="I2" s="117"/>
      <c r="J2" s="408"/>
      <c r="K2" s="409"/>
      <c r="L2" s="410"/>
      <c r="M2" s="240" t="s">
        <v>9</v>
      </c>
      <c r="N2" s="100"/>
      <c r="O2" s="411"/>
      <c r="P2" s="7"/>
      <c r="Q2" s="100"/>
      <c r="R2" s="100"/>
      <c r="S2" s="7"/>
      <c r="T2" s="118"/>
      <c r="U2" s="706"/>
      <c r="V2" s="706"/>
      <c r="W2" s="706"/>
      <c r="X2" s="706"/>
      <c r="Y2" s="706"/>
      <c r="Z2" s="706"/>
      <c r="AA2" s="411"/>
      <c r="AB2" s="7"/>
      <c r="AC2" s="7"/>
      <c r="AD2" s="118"/>
      <c r="AE2" s="7"/>
      <c r="AF2" s="118"/>
      <c r="AG2" s="100"/>
      <c r="AH2" s="7"/>
      <c r="AI2" s="7"/>
      <c r="AJ2" s="7"/>
      <c r="AK2" s="118"/>
      <c r="AL2" s="7"/>
      <c r="AM2" s="118"/>
    </row>
    <row r="3" spans="1:39" s="121" customFormat="1" ht="25.5" customHeight="1">
      <c r="A3" s="27"/>
      <c r="B3" s="327" t="s">
        <v>10</v>
      </c>
      <c r="C3" s="327"/>
      <c r="D3" s="327"/>
      <c r="E3" s="86"/>
      <c r="F3" s="86"/>
      <c r="G3" s="119"/>
      <c r="H3" s="86"/>
      <c r="I3" s="28"/>
      <c r="J3" s="28"/>
      <c r="K3" s="28"/>
      <c r="L3" s="28"/>
      <c r="M3" s="37" t="s">
        <v>138</v>
      </c>
      <c r="N3" s="31"/>
      <c r="O3" s="412"/>
      <c r="P3" s="28"/>
      <c r="Q3" s="28"/>
      <c r="R3" s="28"/>
      <c r="S3" s="28"/>
      <c r="T3" s="120"/>
      <c r="U3" s="28"/>
      <c r="V3" s="28"/>
      <c r="W3" s="28"/>
      <c r="X3" s="28"/>
      <c r="Y3" s="37" t="s">
        <v>138</v>
      </c>
      <c r="Z3" s="31"/>
      <c r="AA3" s="412"/>
      <c r="AB3" s="28"/>
      <c r="AC3" s="28"/>
      <c r="AD3" s="28"/>
      <c r="AE3" s="28"/>
      <c r="AF3" s="120"/>
      <c r="AG3" s="31"/>
      <c r="AH3" s="86"/>
      <c r="AI3" s="28"/>
      <c r="AJ3" s="28"/>
      <c r="AK3" s="28"/>
      <c r="AL3" s="28"/>
      <c r="AM3" s="120"/>
    </row>
    <row r="4" spans="1:39" s="229" customFormat="1" ht="14.25" customHeight="1">
      <c r="A4" s="176"/>
      <c r="B4" s="328"/>
      <c r="C4" s="793" t="s">
        <v>742</v>
      </c>
      <c r="D4" s="793" t="s">
        <v>743</v>
      </c>
      <c r="E4" s="227"/>
      <c r="F4" s="228"/>
      <c r="G4" s="230"/>
      <c r="H4" s="228"/>
      <c r="I4" s="228"/>
      <c r="J4" s="230" t="s">
        <v>293</v>
      </c>
      <c r="K4" s="228"/>
      <c r="L4" s="228"/>
      <c r="M4" s="244"/>
      <c r="N4" s="242"/>
      <c r="O4" s="228"/>
      <c r="P4" s="242"/>
      <c r="Q4" s="242" t="s">
        <v>485</v>
      </c>
      <c r="R4" s="242"/>
      <c r="S4" s="242"/>
      <c r="T4" s="243"/>
      <c r="U4" s="782" t="s">
        <v>139</v>
      </c>
      <c r="V4" s="783"/>
      <c r="W4" s="783"/>
      <c r="X4" s="783"/>
      <c r="Y4" s="784"/>
      <c r="Z4" s="785" t="s">
        <v>576</v>
      </c>
      <c r="AA4" s="786"/>
      <c r="AB4" s="786"/>
      <c r="AC4" s="786"/>
      <c r="AD4" s="786"/>
      <c r="AE4" s="786"/>
      <c r="AF4" s="787"/>
      <c r="AG4" s="788" t="s">
        <v>577</v>
      </c>
      <c r="AH4" s="789"/>
      <c r="AI4" s="789"/>
      <c r="AJ4" s="789"/>
      <c r="AK4" s="789"/>
      <c r="AL4" s="789"/>
      <c r="AM4" s="790"/>
    </row>
    <row r="5" spans="1:39" s="121" customFormat="1" ht="140.25">
      <c r="A5" s="161" t="s">
        <v>64</v>
      </c>
      <c r="B5" s="224" t="s">
        <v>141</v>
      </c>
      <c r="C5" s="794"/>
      <c r="D5" s="794"/>
      <c r="E5" s="45" t="s">
        <v>142</v>
      </c>
      <c r="F5" s="45" t="s">
        <v>143</v>
      </c>
      <c r="G5" s="45" t="s">
        <v>135</v>
      </c>
      <c r="H5" s="304" t="s">
        <v>281</v>
      </c>
      <c r="I5" s="305" t="s">
        <v>282</v>
      </c>
      <c r="J5" s="211" t="s">
        <v>255</v>
      </c>
      <c r="K5" s="45" t="s">
        <v>144</v>
      </c>
      <c r="L5" s="45" t="s">
        <v>145</v>
      </c>
      <c r="M5" s="45" t="s">
        <v>192</v>
      </c>
      <c r="N5" s="45" t="s">
        <v>135</v>
      </c>
      <c r="O5" s="304" t="s">
        <v>277</v>
      </c>
      <c r="P5" s="305" t="s">
        <v>275</v>
      </c>
      <c r="Q5" s="45" t="s">
        <v>172</v>
      </c>
      <c r="R5" s="45" t="s">
        <v>144</v>
      </c>
      <c r="S5" s="45" t="s">
        <v>145</v>
      </c>
      <c r="T5" s="45" t="s">
        <v>191</v>
      </c>
      <c r="U5" s="45" t="s">
        <v>135</v>
      </c>
      <c r="V5" s="45" t="s">
        <v>172</v>
      </c>
      <c r="W5" s="45" t="s">
        <v>144</v>
      </c>
      <c r="X5" s="45" t="s">
        <v>145</v>
      </c>
      <c r="Y5" s="45" t="s">
        <v>190</v>
      </c>
      <c r="Z5" s="45" t="s">
        <v>135</v>
      </c>
      <c r="AA5" s="304" t="s">
        <v>294</v>
      </c>
      <c r="AB5" s="305" t="s">
        <v>295</v>
      </c>
      <c r="AC5" s="211" t="s">
        <v>255</v>
      </c>
      <c r="AD5" s="45" t="s">
        <v>144</v>
      </c>
      <c r="AE5" s="45" t="s">
        <v>145</v>
      </c>
      <c r="AF5" s="45" t="s">
        <v>276</v>
      </c>
      <c r="AG5" s="45" t="s">
        <v>135</v>
      </c>
      <c r="AH5" s="304" t="s">
        <v>604</v>
      </c>
      <c r="AI5" s="305" t="s">
        <v>599</v>
      </c>
      <c r="AJ5" s="211" t="s">
        <v>255</v>
      </c>
      <c r="AK5" s="45" t="s">
        <v>144</v>
      </c>
      <c r="AL5" s="45" t="s">
        <v>145</v>
      </c>
      <c r="AM5" s="45" t="s">
        <v>276</v>
      </c>
    </row>
    <row r="6" spans="1:39" s="32" customFormat="1" ht="12.75">
      <c r="A6" s="75">
        <v>1</v>
      </c>
      <c r="B6" s="225">
        <v>2</v>
      </c>
      <c r="C6" s="225"/>
      <c r="D6" s="225"/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75">
        <v>8</v>
      </c>
      <c r="K6" s="75">
        <v>9</v>
      </c>
      <c r="L6" s="75">
        <v>10</v>
      </c>
      <c r="M6" s="75">
        <v>11</v>
      </c>
      <c r="N6" s="75">
        <v>12</v>
      </c>
      <c r="O6" s="413">
        <v>13</v>
      </c>
      <c r="P6" s="75">
        <v>14</v>
      </c>
      <c r="Q6" s="75">
        <v>15</v>
      </c>
      <c r="R6" s="75">
        <v>16</v>
      </c>
      <c r="S6" s="75">
        <v>17</v>
      </c>
      <c r="T6" s="75">
        <v>18</v>
      </c>
      <c r="U6" s="75">
        <v>19</v>
      </c>
      <c r="V6" s="75">
        <v>20</v>
      </c>
      <c r="W6" s="75">
        <v>21</v>
      </c>
      <c r="X6" s="75">
        <v>22</v>
      </c>
      <c r="Y6" s="75">
        <v>23</v>
      </c>
      <c r="Z6" s="75">
        <v>24</v>
      </c>
      <c r="AA6" s="413">
        <v>25</v>
      </c>
      <c r="AB6" s="75">
        <v>26</v>
      </c>
      <c r="AC6" s="75">
        <v>27</v>
      </c>
      <c r="AD6" s="75">
        <v>28</v>
      </c>
      <c r="AE6" s="75">
        <v>29</v>
      </c>
      <c r="AF6" s="75">
        <v>30</v>
      </c>
      <c r="AG6" s="75">
        <v>24</v>
      </c>
      <c r="AH6" s="75">
        <v>32</v>
      </c>
      <c r="AI6" s="75">
        <v>33</v>
      </c>
      <c r="AJ6" s="75">
        <v>34</v>
      </c>
      <c r="AK6" s="75">
        <v>35</v>
      </c>
      <c r="AL6" s="75">
        <v>36</v>
      </c>
      <c r="AM6" s="75">
        <v>37</v>
      </c>
    </row>
    <row r="7" spans="1:39" s="551" customFormat="1" ht="28.5" customHeight="1">
      <c r="A7" s="561" t="s">
        <v>2</v>
      </c>
      <c r="B7" s="560" t="s">
        <v>250</v>
      </c>
      <c r="C7" s="560"/>
      <c r="D7" s="560"/>
      <c r="E7" s="547"/>
      <c r="F7" s="547"/>
      <c r="G7" s="560"/>
      <c r="H7" s="547"/>
      <c r="I7" s="547"/>
      <c r="J7" s="547"/>
      <c r="K7" s="547"/>
      <c r="L7" s="547"/>
      <c r="M7" s="547"/>
      <c r="N7" s="560"/>
      <c r="O7" s="547"/>
      <c r="P7" s="547"/>
      <c r="Q7" s="547"/>
      <c r="R7" s="547"/>
      <c r="S7" s="547"/>
      <c r="T7" s="547"/>
      <c r="U7" s="547"/>
      <c r="V7" s="547"/>
      <c r="W7" s="547"/>
      <c r="X7" s="547"/>
      <c r="Y7" s="547"/>
      <c r="Z7" s="560"/>
      <c r="AA7" s="547"/>
      <c r="AB7" s="547"/>
      <c r="AC7" s="547"/>
      <c r="AD7" s="547"/>
      <c r="AE7" s="547"/>
      <c r="AF7" s="547"/>
      <c r="AG7" s="560"/>
      <c r="AH7" s="547"/>
      <c r="AI7" s="547"/>
      <c r="AJ7" s="547"/>
      <c r="AK7" s="547"/>
      <c r="AL7" s="547"/>
      <c r="AM7" s="547"/>
    </row>
    <row r="8" spans="1:39" s="4" customFormat="1" ht="13.5">
      <c r="A8" s="157"/>
      <c r="B8" s="213" t="s">
        <v>116</v>
      </c>
      <c r="C8" s="213"/>
      <c r="D8" s="213"/>
      <c r="E8" s="164"/>
      <c r="F8" s="164"/>
      <c r="G8" s="132"/>
      <c r="H8" s="164"/>
      <c r="I8" s="164"/>
      <c r="J8" s="164"/>
      <c r="K8" s="164"/>
      <c r="L8" s="164"/>
      <c r="M8" s="164"/>
      <c r="N8" s="132"/>
      <c r="O8" s="41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32"/>
      <c r="AA8" s="414"/>
      <c r="AB8" s="164"/>
      <c r="AC8" s="164"/>
      <c r="AD8" s="164"/>
      <c r="AE8" s="164"/>
      <c r="AF8" s="164"/>
      <c r="AG8" s="132"/>
      <c r="AH8" s="164"/>
      <c r="AI8" s="164"/>
      <c r="AJ8" s="164"/>
      <c r="AK8" s="164"/>
      <c r="AL8" s="164"/>
      <c r="AM8" s="164"/>
    </row>
    <row r="9" spans="1:39" s="4" customFormat="1" ht="13.5">
      <c r="A9" s="157"/>
      <c r="B9" s="213"/>
      <c r="C9" s="213"/>
      <c r="D9" s="213"/>
      <c r="E9" s="164"/>
      <c r="F9" s="164"/>
      <c r="G9" s="132"/>
      <c r="H9" s="164"/>
      <c r="I9" s="164"/>
      <c r="J9" s="132"/>
      <c r="K9" s="132"/>
      <c r="L9" s="132"/>
      <c r="M9" s="132"/>
      <c r="N9" s="132"/>
      <c r="O9" s="414"/>
      <c r="P9" s="164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414"/>
      <c r="AB9" s="164"/>
      <c r="AC9" s="132"/>
      <c r="AD9" s="132"/>
      <c r="AE9" s="132"/>
      <c r="AF9" s="132"/>
      <c r="AG9" s="132"/>
      <c r="AH9" s="164"/>
      <c r="AI9" s="164"/>
      <c r="AJ9" s="132"/>
      <c r="AK9" s="132"/>
      <c r="AL9" s="132"/>
      <c r="AM9" s="132"/>
    </row>
    <row r="10" spans="1:39" s="4" customFormat="1" ht="21.75" customHeight="1">
      <c r="A10" s="157">
        <v>1</v>
      </c>
      <c r="B10" s="509" t="s">
        <v>477</v>
      </c>
      <c r="C10" s="509" t="s">
        <v>821</v>
      </c>
      <c r="D10" s="509">
        <v>1984</v>
      </c>
      <c r="E10" s="415" t="s">
        <v>358</v>
      </c>
      <c r="F10" s="164" t="s">
        <v>1</v>
      </c>
      <c r="G10" s="157">
        <v>1</v>
      </c>
      <c r="H10" s="164" t="s">
        <v>1</v>
      </c>
      <c r="I10" s="164">
        <v>10</v>
      </c>
      <c r="J10" s="157">
        <f>+I10*83200</f>
        <v>832000</v>
      </c>
      <c r="K10" s="157">
        <v>8000</v>
      </c>
      <c r="L10" s="157"/>
      <c r="M10" s="164">
        <f>J10+K10+L10</f>
        <v>840000</v>
      </c>
      <c r="N10" s="63">
        <v>1</v>
      </c>
      <c r="O10" s="414" t="s">
        <v>1</v>
      </c>
      <c r="P10" s="164">
        <v>10</v>
      </c>
      <c r="Q10" s="157">
        <f>+P10*83200</f>
        <v>832000</v>
      </c>
      <c r="R10" s="157">
        <v>8000</v>
      </c>
      <c r="S10" s="157"/>
      <c r="T10" s="164">
        <f>Q10+R10+S10</f>
        <v>840000</v>
      </c>
      <c r="U10" s="63">
        <v>1</v>
      </c>
      <c r="V10" s="164">
        <f aca="true" t="shared" si="0" ref="V10:X12">J10-Q10</f>
        <v>0</v>
      </c>
      <c r="W10" s="164">
        <f t="shared" si="0"/>
        <v>0</v>
      </c>
      <c r="X10" s="164">
        <f t="shared" si="0"/>
        <v>0</v>
      </c>
      <c r="Y10" s="164">
        <f>V10+W10+X10</f>
        <v>0</v>
      </c>
      <c r="Z10" s="63">
        <v>1</v>
      </c>
      <c r="AA10" s="414" t="s">
        <v>1</v>
      </c>
      <c r="AB10" s="164">
        <v>10</v>
      </c>
      <c r="AC10" s="164">
        <f>+AB10*83200</f>
        <v>832000</v>
      </c>
      <c r="AD10" s="157">
        <v>8000</v>
      </c>
      <c r="AE10" s="157"/>
      <c r="AF10" s="164">
        <f>AC10+AD10+AE10</f>
        <v>840000</v>
      </c>
      <c r="AG10" s="63">
        <v>1</v>
      </c>
      <c r="AH10" s="164" t="s">
        <v>1</v>
      </c>
      <c r="AI10" s="164">
        <v>10</v>
      </c>
      <c r="AJ10" s="157">
        <f>+AI10*83200</f>
        <v>832000</v>
      </c>
      <c r="AK10" s="157">
        <v>8000</v>
      </c>
      <c r="AL10" s="157"/>
      <c r="AM10" s="164">
        <f>AJ10+AK10+AL10</f>
        <v>840000</v>
      </c>
    </row>
    <row r="11" spans="1:39" s="4" customFormat="1" ht="25.5">
      <c r="A11" s="157">
        <v>2</v>
      </c>
      <c r="B11" s="509" t="s">
        <v>360</v>
      </c>
      <c r="C11" s="509"/>
      <c r="D11" s="509"/>
      <c r="E11" s="416" t="s">
        <v>359</v>
      </c>
      <c r="F11" s="164" t="s">
        <v>1</v>
      </c>
      <c r="G11" s="157">
        <v>1</v>
      </c>
      <c r="H11" s="164" t="s">
        <v>1</v>
      </c>
      <c r="I11" s="164">
        <v>8</v>
      </c>
      <c r="J11" s="157">
        <f>+I11*83200</f>
        <v>665600</v>
      </c>
      <c r="K11" s="157">
        <v>8000</v>
      </c>
      <c r="L11" s="157"/>
      <c r="M11" s="164">
        <f>J11+K11+L11</f>
        <v>673600</v>
      </c>
      <c r="N11" s="63">
        <v>1</v>
      </c>
      <c r="O11" s="414" t="s">
        <v>1</v>
      </c>
      <c r="P11" s="164">
        <v>8</v>
      </c>
      <c r="Q11" s="157">
        <f>+P11*83200</f>
        <v>665600</v>
      </c>
      <c r="R11" s="157">
        <v>8000</v>
      </c>
      <c r="S11" s="157"/>
      <c r="T11" s="164">
        <f>Q11+R11+S11</f>
        <v>673600</v>
      </c>
      <c r="U11" s="63">
        <v>1</v>
      </c>
      <c r="V11" s="164">
        <f t="shared" si="0"/>
        <v>0</v>
      </c>
      <c r="W11" s="164">
        <f t="shared" si="0"/>
        <v>0</v>
      </c>
      <c r="X11" s="164">
        <f t="shared" si="0"/>
        <v>0</v>
      </c>
      <c r="Y11" s="164">
        <f>V11+W11+X11</f>
        <v>0</v>
      </c>
      <c r="Z11" s="63">
        <v>1</v>
      </c>
      <c r="AA11" s="414" t="s">
        <v>1</v>
      </c>
      <c r="AB11" s="164">
        <v>8</v>
      </c>
      <c r="AC11" s="164">
        <f>+AB11*83200</f>
        <v>665600</v>
      </c>
      <c r="AD11" s="157">
        <v>8000</v>
      </c>
      <c r="AE11" s="157"/>
      <c r="AF11" s="164">
        <f>AC11+AD11+AE11</f>
        <v>673600</v>
      </c>
      <c r="AG11" s="63">
        <v>1</v>
      </c>
      <c r="AH11" s="164" t="s">
        <v>1</v>
      </c>
      <c r="AI11" s="164">
        <v>8</v>
      </c>
      <c r="AJ11" s="157">
        <f>+AI11*83200</f>
        <v>665600</v>
      </c>
      <c r="AK11" s="157">
        <v>8000</v>
      </c>
      <c r="AL11" s="157"/>
      <c r="AM11" s="164">
        <f>AJ11+AK11+AL11</f>
        <v>673600</v>
      </c>
    </row>
    <row r="12" spans="1:39" s="4" customFormat="1" ht="25.5">
      <c r="A12" s="157">
        <v>3</v>
      </c>
      <c r="B12" s="416" t="s">
        <v>478</v>
      </c>
      <c r="C12" s="509" t="s">
        <v>821</v>
      </c>
      <c r="D12" s="416">
        <v>1986</v>
      </c>
      <c r="E12" s="416" t="s">
        <v>359</v>
      </c>
      <c r="F12" s="164" t="s">
        <v>1</v>
      </c>
      <c r="G12" s="63">
        <v>1</v>
      </c>
      <c r="H12" s="164" t="s">
        <v>1</v>
      </c>
      <c r="I12" s="164">
        <v>8</v>
      </c>
      <c r="J12" s="157">
        <f>+I12*83200</f>
        <v>665600</v>
      </c>
      <c r="K12" s="157">
        <v>8000</v>
      </c>
      <c r="L12" s="157"/>
      <c r="M12" s="164">
        <f>J12+K12+L12</f>
        <v>673600</v>
      </c>
      <c r="N12" s="63">
        <v>1</v>
      </c>
      <c r="O12" s="414" t="s">
        <v>1</v>
      </c>
      <c r="P12" s="164">
        <v>8</v>
      </c>
      <c r="Q12" s="157">
        <f>+P12*83200</f>
        <v>665600</v>
      </c>
      <c r="R12" s="157">
        <v>8000</v>
      </c>
      <c r="S12" s="157"/>
      <c r="T12" s="164">
        <f>Q12+R12+S12</f>
        <v>673600</v>
      </c>
      <c r="U12" s="63">
        <v>1</v>
      </c>
      <c r="V12" s="164">
        <f t="shared" si="0"/>
        <v>0</v>
      </c>
      <c r="W12" s="164">
        <f t="shared" si="0"/>
        <v>0</v>
      </c>
      <c r="X12" s="164">
        <f t="shared" si="0"/>
        <v>0</v>
      </c>
      <c r="Y12" s="164">
        <f>V12+W12+X12</f>
        <v>0</v>
      </c>
      <c r="Z12" s="63">
        <v>1</v>
      </c>
      <c r="AA12" s="414" t="s">
        <v>1</v>
      </c>
      <c r="AB12" s="164">
        <v>8</v>
      </c>
      <c r="AC12" s="164">
        <f>+AB12*83200</f>
        <v>665600</v>
      </c>
      <c r="AD12" s="157">
        <v>8000</v>
      </c>
      <c r="AE12" s="157"/>
      <c r="AF12" s="164">
        <f>AC12+AD12+AE12</f>
        <v>673600</v>
      </c>
      <c r="AG12" s="63">
        <v>1</v>
      </c>
      <c r="AH12" s="164" t="s">
        <v>1</v>
      </c>
      <c r="AI12" s="164">
        <v>8</v>
      </c>
      <c r="AJ12" s="157">
        <f>+AI12*83200</f>
        <v>665600</v>
      </c>
      <c r="AK12" s="157">
        <v>8000</v>
      </c>
      <c r="AL12" s="157"/>
      <c r="AM12" s="164">
        <f>AJ12+AK12+AL12</f>
        <v>673600</v>
      </c>
    </row>
    <row r="13" spans="1:39" s="4" customFormat="1" ht="13.5">
      <c r="A13" s="157"/>
      <c r="B13" s="184"/>
      <c r="C13" s="184"/>
      <c r="D13" s="184"/>
      <c r="E13" s="157"/>
      <c r="F13" s="164"/>
      <c r="G13" s="63"/>
      <c r="H13" s="164"/>
      <c r="I13" s="164"/>
      <c r="J13" s="157"/>
      <c r="K13" s="157"/>
      <c r="L13" s="157"/>
      <c r="M13" s="164"/>
      <c r="N13" s="63"/>
      <c r="O13" s="414"/>
      <c r="P13" s="164"/>
      <c r="Q13" s="157"/>
      <c r="R13" s="157"/>
      <c r="S13" s="157"/>
      <c r="T13" s="164"/>
      <c r="U13" s="164"/>
      <c r="V13" s="164"/>
      <c r="W13" s="164"/>
      <c r="X13" s="164"/>
      <c r="Y13" s="164"/>
      <c r="Z13" s="63"/>
      <c r="AA13" s="414"/>
      <c r="AB13" s="164"/>
      <c r="AC13" s="157"/>
      <c r="AD13" s="157"/>
      <c r="AE13" s="157"/>
      <c r="AF13" s="164"/>
      <c r="AG13" s="63"/>
      <c r="AH13" s="164"/>
      <c r="AI13" s="164"/>
      <c r="AJ13" s="157"/>
      <c r="AK13" s="157"/>
      <c r="AL13" s="157"/>
      <c r="AM13" s="164"/>
    </row>
    <row r="14" spans="1:39" s="167" customFormat="1" ht="14.25">
      <c r="A14" s="162"/>
      <c r="B14" s="330" t="s">
        <v>63</v>
      </c>
      <c r="C14" s="330"/>
      <c r="D14" s="330"/>
      <c r="E14" s="166" t="s">
        <v>1</v>
      </c>
      <c r="F14" s="166" t="s">
        <v>1</v>
      </c>
      <c r="G14" s="166">
        <f>SUM(G10:G12)</f>
        <v>3</v>
      </c>
      <c r="H14" s="166" t="s">
        <v>1</v>
      </c>
      <c r="I14" s="166" t="s">
        <v>1</v>
      </c>
      <c r="J14" s="166">
        <f>SUM(J10:J12)</f>
        <v>2163200</v>
      </c>
      <c r="K14" s="166">
        <f>SUM(K10:K12)</f>
        <v>24000</v>
      </c>
      <c r="L14" s="166">
        <f>SUM(L10:L12)</f>
        <v>0</v>
      </c>
      <c r="M14" s="166">
        <f>SUM(M10:M12)</f>
        <v>2187200</v>
      </c>
      <c r="N14" s="166">
        <f>SUM(N10:N12)</f>
        <v>3</v>
      </c>
      <c r="O14" s="417" t="s">
        <v>1</v>
      </c>
      <c r="P14" s="166" t="s">
        <v>1</v>
      </c>
      <c r="Q14" s="166">
        <f aca="true" t="shared" si="1" ref="Q14:Z14">SUM(Q10:Q12)</f>
        <v>2163200</v>
      </c>
      <c r="R14" s="166">
        <f t="shared" si="1"/>
        <v>24000</v>
      </c>
      <c r="S14" s="166">
        <f t="shared" si="1"/>
        <v>0</v>
      </c>
      <c r="T14" s="166">
        <f t="shared" si="1"/>
        <v>2187200</v>
      </c>
      <c r="U14" s="166">
        <f t="shared" si="1"/>
        <v>3</v>
      </c>
      <c r="V14" s="166">
        <f t="shared" si="1"/>
        <v>0</v>
      </c>
      <c r="W14" s="166">
        <f t="shared" si="1"/>
        <v>0</v>
      </c>
      <c r="X14" s="166">
        <f t="shared" si="1"/>
        <v>0</v>
      </c>
      <c r="Y14" s="166">
        <f t="shared" si="1"/>
        <v>0</v>
      </c>
      <c r="Z14" s="166">
        <f t="shared" si="1"/>
        <v>3</v>
      </c>
      <c r="AA14" s="417" t="s">
        <v>1</v>
      </c>
      <c r="AB14" s="166" t="s">
        <v>1</v>
      </c>
      <c r="AC14" s="166">
        <f>SUM(AC10:AC12)</f>
        <v>2163200</v>
      </c>
      <c r="AD14" s="166">
        <f>SUM(AD10:AD12)</f>
        <v>24000</v>
      </c>
      <c r="AE14" s="166">
        <f>SUM(AE10:AE12)</f>
        <v>0</v>
      </c>
      <c r="AF14" s="166">
        <f>SUM(AF10:AF12)</f>
        <v>2187200</v>
      </c>
      <c r="AG14" s="166">
        <f>SUM(AG10:AG12)</f>
        <v>3</v>
      </c>
      <c r="AH14" s="166" t="s">
        <v>1</v>
      </c>
      <c r="AI14" s="166" t="s">
        <v>1</v>
      </c>
      <c r="AJ14" s="166">
        <f>SUM(AJ10:AJ12)</f>
        <v>2163200</v>
      </c>
      <c r="AK14" s="166">
        <f>SUM(AK10:AK12)</f>
        <v>24000</v>
      </c>
      <c r="AL14" s="166">
        <f>SUM(AL10:AL12)</f>
        <v>0</v>
      </c>
      <c r="AM14" s="166">
        <f>SUM(AM10:AM12)</f>
        <v>2187200</v>
      </c>
    </row>
    <row r="15" spans="1:39" s="4" customFormat="1" ht="13.5">
      <c r="A15" s="157"/>
      <c r="B15" s="330"/>
      <c r="C15" s="330"/>
      <c r="D15" s="330"/>
      <c r="E15" s="164"/>
      <c r="F15" s="164"/>
      <c r="G15" s="165"/>
      <c r="H15" s="164"/>
      <c r="I15" s="164"/>
      <c r="J15" s="165"/>
      <c r="K15" s="165"/>
      <c r="L15" s="165"/>
      <c r="M15" s="165"/>
      <c r="N15" s="165"/>
      <c r="O15" s="414"/>
      <c r="P15" s="164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414"/>
      <c r="AB15" s="164"/>
      <c r="AC15" s="165"/>
      <c r="AD15" s="165"/>
      <c r="AE15" s="165"/>
      <c r="AF15" s="165"/>
      <c r="AG15" s="165"/>
      <c r="AH15" s="164"/>
      <c r="AI15" s="164"/>
      <c r="AJ15" s="165"/>
      <c r="AK15" s="165"/>
      <c r="AL15" s="165"/>
      <c r="AM15" s="165"/>
    </row>
    <row r="16" spans="1:39" s="4" customFormat="1" ht="13.5">
      <c r="A16" s="157"/>
      <c r="B16" s="330"/>
      <c r="C16" s="330"/>
      <c r="D16" s="330"/>
      <c r="E16" s="164"/>
      <c r="F16" s="164"/>
      <c r="G16" s="165"/>
      <c r="H16" s="164"/>
      <c r="I16" s="164"/>
      <c r="J16" s="165"/>
      <c r="K16" s="165"/>
      <c r="L16" s="165"/>
      <c r="M16" s="165"/>
      <c r="N16" s="165"/>
      <c r="O16" s="414"/>
      <c r="P16" s="164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414"/>
      <c r="AB16" s="164"/>
      <c r="AC16" s="165"/>
      <c r="AD16" s="165"/>
      <c r="AE16" s="165"/>
      <c r="AF16" s="165"/>
      <c r="AG16" s="165"/>
      <c r="AH16" s="164"/>
      <c r="AI16" s="164"/>
      <c r="AJ16" s="165"/>
      <c r="AK16" s="165"/>
      <c r="AL16" s="165"/>
      <c r="AM16" s="165"/>
    </row>
    <row r="17" spans="1:39" s="551" customFormat="1" ht="46.5" customHeight="1">
      <c r="A17" s="561" t="s">
        <v>3</v>
      </c>
      <c r="B17" s="560" t="s">
        <v>257</v>
      </c>
      <c r="C17" s="560"/>
      <c r="D17" s="560"/>
      <c r="E17" s="547"/>
      <c r="F17" s="547"/>
      <c r="G17" s="560"/>
      <c r="H17" s="547"/>
      <c r="I17" s="547"/>
      <c r="J17" s="560"/>
      <c r="K17" s="560"/>
      <c r="L17" s="560"/>
      <c r="M17" s="560"/>
      <c r="N17" s="560"/>
      <c r="O17" s="547"/>
      <c r="P17" s="547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47"/>
      <c r="AB17" s="547"/>
      <c r="AC17" s="560"/>
      <c r="AD17" s="560"/>
      <c r="AE17" s="560"/>
      <c r="AF17" s="560"/>
      <c r="AG17" s="560"/>
      <c r="AH17" s="547"/>
      <c r="AI17" s="547"/>
      <c r="AJ17" s="560"/>
      <c r="AK17" s="560"/>
      <c r="AL17" s="560"/>
      <c r="AM17" s="560"/>
    </row>
    <row r="18" spans="1:39" s="4" customFormat="1" ht="13.5">
      <c r="A18" s="157"/>
      <c r="B18" s="213" t="s">
        <v>116</v>
      </c>
      <c r="C18" s="213"/>
      <c r="D18" s="213"/>
      <c r="E18" s="164"/>
      <c r="F18" s="164"/>
      <c r="G18" s="132"/>
      <c r="H18" s="164"/>
      <c r="I18" s="164"/>
      <c r="J18" s="132"/>
      <c r="K18" s="132"/>
      <c r="L18" s="132"/>
      <c r="M18" s="132"/>
      <c r="N18" s="132"/>
      <c r="O18" s="414"/>
      <c r="P18" s="164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414"/>
      <c r="AB18" s="164"/>
      <c r="AC18" s="132"/>
      <c r="AD18" s="132"/>
      <c r="AE18" s="132"/>
      <c r="AF18" s="132"/>
      <c r="AG18" s="132"/>
      <c r="AH18" s="164"/>
      <c r="AI18" s="164"/>
      <c r="AJ18" s="132"/>
      <c r="AK18" s="132"/>
      <c r="AL18" s="132"/>
      <c r="AM18" s="132"/>
    </row>
    <row r="19" spans="1:39" s="4" customFormat="1" ht="25.5">
      <c r="A19" s="157">
        <v>1</v>
      </c>
      <c r="B19" s="418" t="s">
        <v>578</v>
      </c>
      <c r="C19" s="418" t="s">
        <v>821</v>
      </c>
      <c r="D19" s="418">
        <v>1958</v>
      </c>
      <c r="E19" s="416" t="s">
        <v>361</v>
      </c>
      <c r="F19" s="164" t="s">
        <v>1</v>
      </c>
      <c r="G19" s="63">
        <v>1</v>
      </c>
      <c r="H19" s="164" t="s">
        <v>1</v>
      </c>
      <c r="I19" s="419">
        <v>4.75</v>
      </c>
      <c r="J19" s="63">
        <f aca="true" t="shared" si="2" ref="J19:J25">+I19*83200</f>
        <v>395200</v>
      </c>
      <c r="K19" s="157">
        <v>8000</v>
      </c>
      <c r="L19" s="63"/>
      <c r="M19" s="164">
        <f aca="true" t="shared" si="3" ref="M19:M25">J19+K19+L19</f>
        <v>403200</v>
      </c>
      <c r="N19" s="63">
        <v>1</v>
      </c>
      <c r="O19" s="414" t="s">
        <v>1</v>
      </c>
      <c r="P19" s="419">
        <v>4.75</v>
      </c>
      <c r="Q19" s="157">
        <f aca="true" t="shared" si="4" ref="Q19:Q25">+P19*83200</f>
        <v>395200</v>
      </c>
      <c r="R19" s="157">
        <v>8000</v>
      </c>
      <c r="S19" s="63"/>
      <c r="T19" s="164">
        <f aca="true" t="shared" si="5" ref="T19:T25">Q19+R19+S19</f>
        <v>403200</v>
      </c>
      <c r="U19" s="63">
        <v>1</v>
      </c>
      <c r="V19" s="164">
        <f aca="true" t="shared" si="6" ref="V19:X25">J19-Q19</f>
        <v>0</v>
      </c>
      <c r="W19" s="164">
        <f t="shared" si="6"/>
        <v>0</v>
      </c>
      <c r="X19" s="164">
        <f t="shared" si="6"/>
        <v>0</v>
      </c>
      <c r="Y19" s="164">
        <f aca="true" t="shared" si="7" ref="Y19:Y25">V19+W19+X19</f>
        <v>0</v>
      </c>
      <c r="Z19" s="63">
        <v>1</v>
      </c>
      <c r="AA19" s="414" t="s">
        <v>1</v>
      </c>
      <c r="AB19" s="419">
        <v>4.75</v>
      </c>
      <c r="AC19" s="157">
        <f aca="true" t="shared" si="8" ref="AC19:AC25">+AB19*83200</f>
        <v>395200</v>
      </c>
      <c r="AD19" s="157">
        <v>8000</v>
      </c>
      <c r="AE19" s="157"/>
      <c r="AF19" s="164">
        <f aca="true" t="shared" si="9" ref="AF19:AF25">AC19+AD19+AE19</f>
        <v>403200</v>
      </c>
      <c r="AG19" s="63">
        <v>1</v>
      </c>
      <c r="AH19" s="164" t="s">
        <v>1</v>
      </c>
      <c r="AI19" s="419">
        <v>4.75</v>
      </c>
      <c r="AJ19" s="63">
        <f aca="true" t="shared" si="10" ref="AJ19:AJ25">+AI19*83200</f>
        <v>395200</v>
      </c>
      <c r="AK19" s="63">
        <v>8000</v>
      </c>
      <c r="AL19" s="63"/>
      <c r="AM19" s="164">
        <f aca="true" t="shared" si="11" ref="AM19:AM25">AJ19+AK19+AL19</f>
        <v>403200</v>
      </c>
    </row>
    <row r="20" spans="1:39" s="4" customFormat="1" ht="25.5">
      <c r="A20" s="157">
        <v>2</v>
      </c>
      <c r="B20" s="420" t="s">
        <v>579</v>
      </c>
      <c r="C20" s="420" t="s">
        <v>822</v>
      </c>
      <c r="D20" s="420">
        <v>1963</v>
      </c>
      <c r="E20" s="416" t="s">
        <v>361</v>
      </c>
      <c r="F20" s="164" t="s">
        <v>1</v>
      </c>
      <c r="G20" s="63">
        <v>1</v>
      </c>
      <c r="H20" s="164" t="s">
        <v>1</v>
      </c>
      <c r="I20" s="419">
        <v>4.75</v>
      </c>
      <c r="J20" s="63">
        <f t="shared" si="2"/>
        <v>395200</v>
      </c>
      <c r="K20" s="157">
        <v>8000</v>
      </c>
      <c r="L20" s="63"/>
      <c r="M20" s="164">
        <f>J20+K20+L20</f>
        <v>403200</v>
      </c>
      <c r="N20" s="63">
        <v>1</v>
      </c>
      <c r="O20" s="414" t="s">
        <v>1</v>
      </c>
      <c r="P20" s="419">
        <v>4.75</v>
      </c>
      <c r="Q20" s="157">
        <f t="shared" si="4"/>
        <v>395200</v>
      </c>
      <c r="R20" s="157">
        <v>8000</v>
      </c>
      <c r="S20" s="63"/>
      <c r="T20" s="164">
        <f>Q20+R20+S20</f>
        <v>403200</v>
      </c>
      <c r="U20" s="63">
        <v>1</v>
      </c>
      <c r="V20" s="164">
        <f>J20-Q20</f>
        <v>0</v>
      </c>
      <c r="W20" s="164">
        <f>K20-R20</f>
        <v>0</v>
      </c>
      <c r="X20" s="164">
        <f>L20-S20</f>
        <v>0</v>
      </c>
      <c r="Y20" s="164">
        <f>V20+W20+X20</f>
        <v>0</v>
      </c>
      <c r="Z20" s="63">
        <v>1</v>
      </c>
      <c r="AA20" s="414" t="s">
        <v>1</v>
      </c>
      <c r="AB20" s="419">
        <v>4.75</v>
      </c>
      <c r="AC20" s="157">
        <f t="shared" si="8"/>
        <v>395200</v>
      </c>
      <c r="AD20" s="157">
        <v>8000</v>
      </c>
      <c r="AE20" s="157"/>
      <c r="AF20" s="164">
        <f>AC20+AD20+AE20</f>
        <v>403200</v>
      </c>
      <c r="AG20" s="63">
        <v>1</v>
      </c>
      <c r="AH20" s="164" t="s">
        <v>1</v>
      </c>
      <c r="AI20" s="419">
        <v>4.75</v>
      </c>
      <c r="AJ20" s="63">
        <f t="shared" si="10"/>
        <v>395200</v>
      </c>
      <c r="AK20" s="63">
        <v>8000</v>
      </c>
      <c r="AL20" s="63"/>
      <c r="AM20" s="164">
        <f>AJ20+AK20+AL20</f>
        <v>403200</v>
      </c>
    </row>
    <row r="21" spans="1:39" s="4" customFormat="1" ht="25.5">
      <c r="A21" s="157">
        <v>3</v>
      </c>
      <c r="B21" s="420" t="s">
        <v>479</v>
      </c>
      <c r="C21" s="420" t="s">
        <v>821</v>
      </c>
      <c r="D21" s="420">
        <v>1985</v>
      </c>
      <c r="E21" s="416" t="s">
        <v>361</v>
      </c>
      <c r="F21" s="164" t="s">
        <v>1</v>
      </c>
      <c r="G21" s="63">
        <v>1</v>
      </c>
      <c r="H21" s="164" t="s">
        <v>1</v>
      </c>
      <c r="I21" s="419">
        <v>4.75</v>
      </c>
      <c r="J21" s="63">
        <f t="shared" si="2"/>
        <v>395200</v>
      </c>
      <c r="K21" s="157">
        <v>8000</v>
      </c>
      <c r="L21" s="63"/>
      <c r="M21" s="164">
        <f t="shared" si="3"/>
        <v>403200</v>
      </c>
      <c r="N21" s="63">
        <v>1</v>
      </c>
      <c r="O21" s="414" t="s">
        <v>1</v>
      </c>
      <c r="P21" s="419">
        <v>4.75</v>
      </c>
      <c r="Q21" s="157">
        <f t="shared" si="4"/>
        <v>395200</v>
      </c>
      <c r="R21" s="157">
        <v>8000</v>
      </c>
      <c r="S21" s="63"/>
      <c r="T21" s="164">
        <f t="shared" si="5"/>
        <v>403200</v>
      </c>
      <c r="U21" s="63">
        <v>1</v>
      </c>
      <c r="V21" s="164">
        <f t="shared" si="6"/>
        <v>0</v>
      </c>
      <c r="W21" s="164">
        <f t="shared" si="6"/>
        <v>0</v>
      </c>
      <c r="X21" s="164">
        <f t="shared" si="6"/>
        <v>0</v>
      </c>
      <c r="Y21" s="164">
        <f t="shared" si="7"/>
        <v>0</v>
      </c>
      <c r="Z21" s="63">
        <v>1</v>
      </c>
      <c r="AA21" s="414" t="s">
        <v>1</v>
      </c>
      <c r="AB21" s="419">
        <v>4.75</v>
      </c>
      <c r="AC21" s="157">
        <f t="shared" si="8"/>
        <v>395200</v>
      </c>
      <c r="AD21" s="157">
        <v>8000</v>
      </c>
      <c r="AE21" s="157"/>
      <c r="AF21" s="164">
        <f t="shared" si="9"/>
        <v>403200</v>
      </c>
      <c r="AG21" s="63">
        <v>1</v>
      </c>
      <c r="AH21" s="164" t="s">
        <v>1</v>
      </c>
      <c r="AI21" s="419">
        <v>4.75</v>
      </c>
      <c r="AJ21" s="63">
        <f t="shared" si="10"/>
        <v>395200</v>
      </c>
      <c r="AK21" s="63">
        <v>8000</v>
      </c>
      <c r="AL21" s="63"/>
      <c r="AM21" s="164">
        <f t="shared" si="11"/>
        <v>403200</v>
      </c>
    </row>
    <row r="22" spans="1:39" s="4" customFormat="1" ht="25.5">
      <c r="A22" s="157">
        <v>1</v>
      </c>
      <c r="B22" s="418" t="s">
        <v>360</v>
      </c>
      <c r="C22" s="418"/>
      <c r="D22" s="418"/>
      <c r="E22" s="416" t="s">
        <v>362</v>
      </c>
      <c r="F22" s="164" t="s">
        <v>1</v>
      </c>
      <c r="G22" s="63">
        <v>1</v>
      </c>
      <c r="H22" s="164" t="s">
        <v>1</v>
      </c>
      <c r="I22" s="164">
        <v>4.5</v>
      </c>
      <c r="J22" s="63">
        <f t="shared" si="2"/>
        <v>374400</v>
      </c>
      <c r="K22" s="157">
        <v>8000</v>
      </c>
      <c r="L22" s="63"/>
      <c r="M22" s="164">
        <f t="shared" si="3"/>
        <v>382400</v>
      </c>
      <c r="N22" s="63">
        <v>1</v>
      </c>
      <c r="O22" s="414" t="s">
        <v>1</v>
      </c>
      <c r="P22" s="164">
        <v>4.5</v>
      </c>
      <c r="Q22" s="157">
        <f t="shared" si="4"/>
        <v>374400</v>
      </c>
      <c r="R22" s="157">
        <v>8000</v>
      </c>
      <c r="S22" s="63"/>
      <c r="T22" s="164">
        <f t="shared" si="5"/>
        <v>382400</v>
      </c>
      <c r="U22" s="63">
        <v>1</v>
      </c>
      <c r="V22" s="164">
        <f t="shared" si="6"/>
        <v>0</v>
      </c>
      <c r="W22" s="164">
        <f t="shared" si="6"/>
        <v>0</v>
      </c>
      <c r="X22" s="164">
        <f t="shared" si="6"/>
        <v>0</v>
      </c>
      <c r="Y22" s="164">
        <f t="shared" si="7"/>
        <v>0</v>
      </c>
      <c r="Z22" s="63">
        <v>1</v>
      </c>
      <c r="AA22" s="414" t="s">
        <v>1</v>
      </c>
      <c r="AB22" s="164">
        <v>4.5</v>
      </c>
      <c r="AC22" s="157">
        <f t="shared" si="8"/>
        <v>374400</v>
      </c>
      <c r="AD22" s="157">
        <v>8000</v>
      </c>
      <c r="AE22" s="157"/>
      <c r="AF22" s="164">
        <f t="shared" si="9"/>
        <v>382400</v>
      </c>
      <c r="AG22" s="63">
        <v>1</v>
      </c>
      <c r="AH22" s="164" t="s">
        <v>1</v>
      </c>
      <c r="AI22" s="164">
        <v>4.5</v>
      </c>
      <c r="AJ22" s="63">
        <f t="shared" si="10"/>
        <v>374400</v>
      </c>
      <c r="AK22" s="63">
        <v>8000</v>
      </c>
      <c r="AL22" s="63"/>
      <c r="AM22" s="164">
        <f t="shared" si="11"/>
        <v>382400</v>
      </c>
    </row>
    <row r="23" spans="1:39" s="4" customFormat="1" ht="25.5">
      <c r="A23" s="157">
        <v>2</v>
      </c>
      <c r="B23" s="418" t="s">
        <v>480</v>
      </c>
      <c r="C23" s="418" t="s">
        <v>822</v>
      </c>
      <c r="D23" s="418">
        <v>1991</v>
      </c>
      <c r="E23" s="416" t="s">
        <v>362</v>
      </c>
      <c r="F23" s="164" t="s">
        <v>1</v>
      </c>
      <c r="G23" s="63">
        <v>1</v>
      </c>
      <c r="H23" s="164" t="s">
        <v>1</v>
      </c>
      <c r="I23" s="164">
        <v>4.5</v>
      </c>
      <c r="J23" s="63">
        <f t="shared" si="2"/>
        <v>374400</v>
      </c>
      <c r="K23" s="157">
        <v>8000</v>
      </c>
      <c r="L23" s="63"/>
      <c r="M23" s="164">
        <f t="shared" si="3"/>
        <v>382400</v>
      </c>
      <c r="N23" s="63">
        <v>1</v>
      </c>
      <c r="O23" s="414" t="s">
        <v>1</v>
      </c>
      <c r="P23" s="164">
        <v>4.5</v>
      </c>
      <c r="Q23" s="157">
        <f t="shared" si="4"/>
        <v>374400</v>
      </c>
      <c r="R23" s="157">
        <v>8000</v>
      </c>
      <c r="S23" s="63"/>
      <c r="T23" s="164">
        <f t="shared" si="5"/>
        <v>382400</v>
      </c>
      <c r="U23" s="63">
        <v>1</v>
      </c>
      <c r="V23" s="164">
        <f t="shared" si="6"/>
        <v>0</v>
      </c>
      <c r="W23" s="164">
        <f t="shared" si="6"/>
        <v>0</v>
      </c>
      <c r="X23" s="164">
        <f t="shared" si="6"/>
        <v>0</v>
      </c>
      <c r="Y23" s="164">
        <f t="shared" si="7"/>
        <v>0</v>
      </c>
      <c r="Z23" s="63">
        <v>1</v>
      </c>
      <c r="AA23" s="414" t="s">
        <v>1</v>
      </c>
      <c r="AB23" s="164">
        <v>4.5</v>
      </c>
      <c r="AC23" s="157">
        <f t="shared" si="8"/>
        <v>374400</v>
      </c>
      <c r="AD23" s="157">
        <v>8000</v>
      </c>
      <c r="AE23" s="157"/>
      <c r="AF23" s="164">
        <f t="shared" si="9"/>
        <v>382400</v>
      </c>
      <c r="AG23" s="63">
        <v>1</v>
      </c>
      <c r="AH23" s="164" t="s">
        <v>1</v>
      </c>
      <c r="AI23" s="164">
        <v>4.5</v>
      </c>
      <c r="AJ23" s="63">
        <f t="shared" si="10"/>
        <v>374400</v>
      </c>
      <c r="AK23" s="63">
        <v>8000</v>
      </c>
      <c r="AL23" s="63"/>
      <c r="AM23" s="164">
        <f t="shared" si="11"/>
        <v>382400</v>
      </c>
    </row>
    <row r="24" spans="1:39" s="4" customFormat="1" ht="38.25">
      <c r="A24" s="157">
        <v>1</v>
      </c>
      <c r="B24" s="420" t="s">
        <v>481</v>
      </c>
      <c r="C24" s="420" t="s">
        <v>822</v>
      </c>
      <c r="D24" s="420">
        <v>1997</v>
      </c>
      <c r="E24" s="421" t="s">
        <v>363</v>
      </c>
      <c r="F24" s="164" t="s">
        <v>1</v>
      </c>
      <c r="G24" s="63">
        <v>1</v>
      </c>
      <c r="H24" s="164" t="s">
        <v>1</v>
      </c>
      <c r="I24" s="164">
        <v>3</v>
      </c>
      <c r="J24" s="63">
        <f t="shared" si="2"/>
        <v>249600</v>
      </c>
      <c r="K24" s="157">
        <v>8000</v>
      </c>
      <c r="L24" s="63"/>
      <c r="M24" s="164">
        <f t="shared" si="3"/>
        <v>257600</v>
      </c>
      <c r="N24" s="63">
        <v>1</v>
      </c>
      <c r="O24" s="414" t="s">
        <v>1</v>
      </c>
      <c r="P24" s="164">
        <v>3</v>
      </c>
      <c r="Q24" s="157">
        <f t="shared" si="4"/>
        <v>249600</v>
      </c>
      <c r="R24" s="157">
        <v>8000</v>
      </c>
      <c r="S24" s="63"/>
      <c r="T24" s="164">
        <f t="shared" si="5"/>
        <v>257600</v>
      </c>
      <c r="U24" s="63">
        <v>1</v>
      </c>
      <c r="V24" s="164">
        <f t="shared" si="6"/>
        <v>0</v>
      </c>
      <c r="W24" s="164">
        <f t="shared" si="6"/>
        <v>0</v>
      </c>
      <c r="X24" s="164">
        <f t="shared" si="6"/>
        <v>0</v>
      </c>
      <c r="Y24" s="164">
        <f t="shared" si="7"/>
        <v>0</v>
      </c>
      <c r="Z24" s="63">
        <v>1</v>
      </c>
      <c r="AA24" s="414" t="s">
        <v>1</v>
      </c>
      <c r="AB24" s="164">
        <v>3</v>
      </c>
      <c r="AC24" s="157">
        <f t="shared" si="8"/>
        <v>249600</v>
      </c>
      <c r="AD24" s="157">
        <v>8000</v>
      </c>
      <c r="AE24" s="157"/>
      <c r="AF24" s="164">
        <f t="shared" si="9"/>
        <v>257600</v>
      </c>
      <c r="AG24" s="63">
        <v>1</v>
      </c>
      <c r="AH24" s="164" t="s">
        <v>1</v>
      </c>
      <c r="AI24" s="164">
        <v>3</v>
      </c>
      <c r="AJ24" s="63">
        <f t="shared" si="10"/>
        <v>249600</v>
      </c>
      <c r="AK24" s="63">
        <v>8000</v>
      </c>
      <c r="AL24" s="63"/>
      <c r="AM24" s="164">
        <f t="shared" si="11"/>
        <v>257600</v>
      </c>
    </row>
    <row r="25" spans="1:39" s="4" customFormat="1" ht="38.25">
      <c r="A25" s="157">
        <v>2</v>
      </c>
      <c r="B25" s="420" t="s">
        <v>561</v>
      </c>
      <c r="C25" s="420" t="s">
        <v>822</v>
      </c>
      <c r="D25" s="420">
        <v>1982</v>
      </c>
      <c r="E25" s="421" t="s">
        <v>363</v>
      </c>
      <c r="F25" s="164" t="s">
        <v>1</v>
      </c>
      <c r="G25" s="63">
        <v>1</v>
      </c>
      <c r="H25" s="164" t="s">
        <v>1</v>
      </c>
      <c r="I25" s="164">
        <v>3</v>
      </c>
      <c r="J25" s="63">
        <f t="shared" si="2"/>
        <v>249600</v>
      </c>
      <c r="K25" s="157">
        <v>8000</v>
      </c>
      <c r="L25" s="63"/>
      <c r="M25" s="164">
        <f t="shared" si="3"/>
        <v>257600</v>
      </c>
      <c r="N25" s="63">
        <v>1</v>
      </c>
      <c r="O25" s="414" t="s">
        <v>1</v>
      </c>
      <c r="P25" s="164">
        <v>3</v>
      </c>
      <c r="Q25" s="157">
        <f t="shared" si="4"/>
        <v>249600</v>
      </c>
      <c r="R25" s="157">
        <v>8000</v>
      </c>
      <c r="S25" s="63"/>
      <c r="T25" s="164">
        <f t="shared" si="5"/>
        <v>257600</v>
      </c>
      <c r="U25" s="63">
        <v>1</v>
      </c>
      <c r="V25" s="164">
        <f t="shared" si="6"/>
        <v>0</v>
      </c>
      <c r="W25" s="164">
        <f t="shared" si="6"/>
        <v>0</v>
      </c>
      <c r="X25" s="164">
        <f t="shared" si="6"/>
        <v>0</v>
      </c>
      <c r="Y25" s="164">
        <f t="shared" si="7"/>
        <v>0</v>
      </c>
      <c r="Z25" s="63">
        <v>1</v>
      </c>
      <c r="AA25" s="414" t="s">
        <v>1</v>
      </c>
      <c r="AB25" s="164">
        <v>3</v>
      </c>
      <c r="AC25" s="157">
        <f t="shared" si="8"/>
        <v>249600</v>
      </c>
      <c r="AD25" s="157">
        <v>8000</v>
      </c>
      <c r="AE25" s="157"/>
      <c r="AF25" s="164">
        <f t="shared" si="9"/>
        <v>257600</v>
      </c>
      <c r="AG25" s="63">
        <v>1</v>
      </c>
      <c r="AH25" s="164" t="s">
        <v>1</v>
      </c>
      <c r="AI25" s="164">
        <v>3</v>
      </c>
      <c r="AJ25" s="63">
        <f t="shared" si="10"/>
        <v>249600</v>
      </c>
      <c r="AK25" s="63">
        <v>8000</v>
      </c>
      <c r="AL25" s="63"/>
      <c r="AM25" s="164">
        <f t="shared" si="11"/>
        <v>257600</v>
      </c>
    </row>
    <row r="26" spans="1:39" s="4" customFormat="1" ht="14.25">
      <c r="A26" s="157"/>
      <c r="B26" s="184"/>
      <c r="C26" s="184"/>
      <c r="D26" s="184"/>
      <c r="E26" s="157"/>
      <c r="F26" s="164"/>
      <c r="G26" s="63"/>
      <c r="H26" s="164"/>
      <c r="I26" s="164"/>
      <c r="J26" s="63"/>
      <c r="K26" s="63"/>
      <c r="L26" s="63"/>
      <c r="M26" s="422"/>
      <c r="N26" s="63"/>
      <c r="O26" s="414"/>
      <c r="P26" s="164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414"/>
      <c r="AB26" s="164"/>
      <c r="AC26" s="63"/>
      <c r="AD26" s="63"/>
      <c r="AE26" s="63"/>
      <c r="AF26" s="63"/>
      <c r="AG26" s="63"/>
      <c r="AH26" s="164"/>
      <c r="AI26" s="164"/>
      <c r="AJ26" s="63"/>
      <c r="AK26" s="63"/>
      <c r="AL26" s="63"/>
      <c r="AM26" s="63"/>
    </row>
    <row r="27" spans="1:39" s="167" customFormat="1" ht="14.25">
      <c r="A27" s="162"/>
      <c r="B27" s="330" t="s">
        <v>63</v>
      </c>
      <c r="C27" s="330"/>
      <c r="D27" s="330"/>
      <c r="E27" s="166" t="s">
        <v>1</v>
      </c>
      <c r="F27" s="166" t="s">
        <v>1</v>
      </c>
      <c r="G27" s="166">
        <f>SUM(G19:G26)</f>
        <v>7</v>
      </c>
      <c r="H27" s="166" t="s">
        <v>1</v>
      </c>
      <c r="I27" s="166" t="s">
        <v>1</v>
      </c>
      <c r="J27" s="422">
        <f>SUM(J19:J25)</f>
        <v>2433600</v>
      </c>
      <c r="K27" s="422">
        <f>SUM(K19:K25)</f>
        <v>56000</v>
      </c>
      <c r="L27" s="166">
        <f>SUM(L19:L22)</f>
        <v>0</v>
      </c>
      <c r="M27" s="422">
        <f>SUM(M19:M25)</f>
        <v>2489600</v>
      </c>
      <c r="N27" s="166">
        <f>SUM(N19:N25)</f>
        <v>7</v>
      </c>
      <c r="O27" s="417" t="s">
        <v>1</v>
      </c>
      <c r="P27" s="166" t="s">
        <v>1</v>
      </c>
      <c r="Q27" s="166">
        <f>SUM(Q19:Q25)</f>
        <v>2433600</v>
      </c>
      <c r="R27" s="166">
        <f>SUM(R19:R25)</f>
        <v>56000</v>
      </c>
      <c r="S27" s="166">
        <f>SUM(S19:S22)</f>
        <v>0</v>
      </c>
      <c r="T27" s="166">
        <f>SUM(T19:T25)</f>
        <v>2489600</v>
      </c>
      <c r="U27" s="166">
        <f>SUM(U19:U25)</f>
        <v>7</v>
      </c>
      <c r="V27" s="166">
        <f>SUM(V19:V22)</f>
        <v>0</v>
      </c>
      <c r="W27" s="166">
        <f>SUM(W19:W22)</f>
        <v>0</v>
      </c>
      <c r="X27" s="166">
        <f>SUM(X19:X22)</f>
        <v>0</v>
      </c>
      <c r="Y27" s="166">
        <f>SUM(Y19:Y22)</f>
        <v>0</v>
      </c>
      <c r="Z27" s="166">
        <f>SUM(Z19:Z25)</f>
        <v>7</v>
      </c>
      <c r="AA27" s="417" t="s">
        <v>1</v>
      </c>
      <c r="AB27" s="166" t="s">
        <v>1</v>
      </c>
      <c r="AC27" s="166">
        <f>SUM(AC19:AC25)</f>
        <v>2433600</v>
      </c>
      <c r="AD27" s="166">
        <f>SUM(AD19:AD25)</f>
        <v>56000</v>
      </c>
      <c r="AE27" s="166">
        <f>SUM(AE19:AE22)</f>
        <v>0</v>
      </c>
      <c r="AF27" s="166">
        <f>SUM(AF19:AF25)</f>
        <v>2489600</v>
      </c>
      <c r="AG27" s="166">
        <f>SUM(AG19:AG25)</f>
        <v>7</v>
      </c>
      <c r="AH27" s="166" t="s">
        <v>1</v>
      </c>
      <c r="AI27" s="166" t="s">
        <v>1</v>
      </c>
      <c r="AJ27" s="166">
        <f>SUM(AJ19:AJ25)</f>
        <v>2433600</v>
      </c>
      <c r="AK27" s="166">
        <f>SUM(AK19:AK25)</f>
        <v>56000</v>
      </c>
      <c r="AL27" s="166">
        <f>SUM(AL19:AL22)</f>
        <v>0</v>
      </c>
      <c r="AM27" s="166">
        <f>SUM(AM19:AM25)</f>
        <v>2489600</v>
      </c>
    </row>
    <row r="28" spans="1:39" s="4" customFormat="1" ht="14.25">
      <c r="A28" s="157"/>
      <c r="B28" s="329"/>
      <c r="C28" s="329"/>
      <c r="D28" s="329"/>
      <c r="E28" s="164"/>
      <c r="F28" s="164"/>
      <c r="G28" s="163"/>
      <c r="H28" s="164"/>
      <c r="I28" s="164"/>
      <c r="J28" s="163"/>
      <c r="K28" s="163"/>
      <c r="L28" s="163"/>
      <c r="M28" s="422"/>
      <c r="N28" s="163"/>
      <c r="O28" s="414"/>
      <c r="P28" s="164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414"/>
      <c r="AB28" s="164"/>
      <c r="AC28" s="163"/>
      <c r="AD28" s="163"/>
      <c r="AE28" s="163"/>
      <c r="AF28" s="163"/>
      <c r="AG28" s="163"/>
      <c r="AH28" s="164"/>
      <c r="AI28" s="164"/>
      <c r="AJ28" s="163"/>
      <c r="AK28" s="163"/>
      <c r="AL28" s="163"/>
      <c r="AM28" s="163"/>
    </row>
    <row r="29" spans="1:39" s="4" customFormat="1" ht="13.5">
      <c r="A29" s="157"/>
      <c r="B29" s="330"/>
      <c r="C29" s="330"/>
      <c r="D29" s="330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41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41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</row>
    <row r="30" spans="1:39" s="551" customFormat="1" ht="40.5">
      <c r="A30" s="561" t="s">
        <v>4</v>
      </c>
      <c r="B30" s="560" t="s">
        <v>364</v>
      </c>
      <c r="C30" s="560"/>
      <c r="D30" s="560"/>
      <c r="E30" s="547"/>
      <c r="F30" s="547"/>
      <c r="G30" s="560"/>
      <c r="H30" s="547"/>
      <c r="I30" s="547"/>
      <c r="J30" s="560"/>
      <c r="K30" s="560"/>
      <c r="L30" s="560"/>
      <c r="M30" s="560"/>
      <c r="N30" s="560"/>
      <c r="O30" s="547"/>
      <c r="P30" s="547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47"/>
      <c r="AB30" s="547"/>
      <c r="AC30" s="560"/>
      <c r="AD30" s="560"/>
      <c r="AE30" s="560"/>
      <c r="AF30" s="560"/>
      <c r="AG30" s="560"/>
      <c r="AH30" s="547"/>
      <c r="AI30" s="547"/>
      <c r="AJ30" s="560"/>
      <c r="AK30" s="560"/>
      <c r="AL30" s="560"/>
      <c r="AM30" s="560"/>
    </row>
    <row r="31" spans="1:39" s="4" customFormat="1" ht="25.5">
      <c r="A31" s="157">
        <v>1</v>
      </c>
      <c r="B31" s="423" t="s">
        <v>365</v>
      </c>
      <c r="C31" s="423" t="s">
        <v>821</v>
      </c>
      <c r="D31" s="423">
        <v>1958</v>
      </c>
      <c r="E31" s="423" t="s">
        <v>242</v>
      </c>
      <c r="F31" s="424" t="s">
        <v>366</v>
      </c>
      <c r="G31" s="163">
        <v>1</v>
      </c>
      <c r="H31" s="157">
        <v>12</v>
      </c>
      <c r="I31" s="157">
        <v>8.46</v>
      </c>
      <c r="J31" s="163">
        <f>83200*I31</f>
        <v>703872.0000000001</v>
      </c>
      <c r="K31" s="163">
        <v>8000</v>
      </c>
      <c r="L31" s="163">
        <f>+J31*20%</f>
        <v>140774.40000000002</v>
      </c>
      <c r="M31" s="164">
        <f>J31+K31+L31</f>
        <v>852646.4000000001</v>
      </c>
      <c r="N31" s="163">
        <v>1</v>
      </c>
      <c r="O31" s="414">
        <v>11</v>
      </c>
      <c r="P31" s="157">
        <v>8.46</v>
      </c>
      <c r="Q31" s="157">
        <f>83200*P31</f>
        <v>703872.0000000001</v>
      </c>
      <c r="R31" s="394">
        <v>8000</v>
      </c>
      <c r="S31" s="163">
        <f>+Q31*20%</f>
        <v>140774.40000000002</v>
      </c>
      <c r="T31" s="164">
        <f>Q31+R31+S31</f>
        <v>852646.4000000001</v>
      </c>
      <c r="U31" s="164">
        <v>1</v>
      </c>
      <c r="V31" s="164">
        <f>J31-Q31</f>
        <v>0</v>
      </c>
      <c r="W31" s="164">
        <f>K31-R31</f>
        <v>0</v>
      </c>
      <c r="X31" s="164">
        <f>L31-S31</f>
        <v>0</v>
      </c>
      <c r="Y31" s="164">
        <f>V31+W31+X31</f>
        <v>0</v>
      </c>
      <c r="Z31" s="163">
        <v>1</v>
      </c>
      <c r="AA31" s="414">
        <v>13</v>
      </c>
      <c r="AB31" s="419">
        <v>8.46</v>
      </c>
      <c r="AC31" s="425">
        <f>83200*AB31</f>
        <v>703872.0000000001</v>
      </c>
      <c r="AD31" s="425">
        <v>8000</v>
      </c>
      <c r="AE31" s="425">
        <f>+AC31*20%</f>
        <v>140774.40000000002</v>
      </c>
      <c r="AF31" s="164">
        <f>AC31+AD31+AE31</f>
        <v>852646.4000000001</v>
      </c>
      <c r="AG31" s="163">
        <v>1</v>
      </c>
      <c r="AH31" s="157">
        <f>+AA31+1</f>
        <v>14</v>
      </c>
      <c r="AI31" s="419">
        <v>8.46</v>
      </c>
      <c r="AJ31" s="426">
        <f>83200*AI31</f>
        <v>703872.0000000001</v>
      </c>
      <c r="AK31" s="425">
        <v>8000</v>
      </c>
      <c r="AL31" s="425">
        <f>+AJ31*20%</f>
        <v>140774.40000000002</v>
      </c>
      <c r="AM31" s="164">
        <f>AJ31+AK31+AL31</f>
        <v>852646.4000000001</v>
      </c>
    </row>
    <row r="32" spans="1:39" s="4" customFormat="1" ht="38.25">
      <c r="A32" s="428">
        <v>2</v>
      </c>
      <c r="B32" s="540" t="s">
        <v>439</v>
      </c>
      <c r="C32" s="540" t="s">
        <v>823</v>
      </c>
      <c r="D32" s="540">
        <v>1957</v>
      </c>
      <c r="E32" s="423" t="s">
        <v>580</v>
      </c>
      <c r="F32" s="424"/>
      <c r="G32" s="163">
        <v>1</v>
      </c>
      <c r="H32" s="157"/>
      <c r="I32" s="157">
        <v>3</v>
      </c>
      <c r="J32" s="163">
        <f>83200*I32</f>
        <v>249600</v>
      </c>
      <c r="K32" s="163">
        <v>8000</v>
      </c>
      <c r="L32" s="163"/>
      <c r="M32" s="164">
        <f>J32+K32+L32</f>
        <v>257600</v>
      </c>
      <c r="N32" s="163">
        <v>1</v>
      </c>
      <c r="O32" s="414"/>
      <c r="P32" s="157">
        <v>3</v>
      </c>
      <c r="Q32" s="157">
        <f>83200*P32</f>
        <v>249600</v>
      </c>
      <c r="R32" s="394">
        <v>8000</v>
      </c>
      <c r="S32" s="480"/>
      <c r="T32" s="164">
        <f>Q32+R32+S32</f>
        <v>257600</v>
      </c>
      <c r="U32" s="444">
        <v>1</v>
      </c>
      <c r="V32" s="414"/>
      <c r="W32" s="445"/>
      <c r="X32" s="337"/>
      <c r="Y32" s="157"/>
      <c r="Z32" s="157">
        <v>1</v>
      </c>
      <c r="AA32" s="164"/>
      <c r="AB32" s="63">
        <v>3</v>
      </c>
      <c r="AC32" s="425">
        <f>83200*AB32</f>
        <v>249600</v>
      </c>
      <c r="AD32" s="419">
        <v>8000</v>
      </c>
      <c r="AE32" s="157"/>
      <c r="AF32" s="164">
        <f>AC32+AD32+AE32</f>
        <v>257600</v>
      </c>
      <c r="AG32" s="157">
        <v>1</v>
      </c>
      <c r="AH32" s="164"/>
      <c r="AI32" s="164">
        <v>3</v>
      </c>
      <c r="AJ32" s="426">
        <f>83200*AI32</f>
        <v>249600</v>
      </c>
      <c r="AK32" s="425">
        <v>8000</v>
      </c>
      <c r="AL32" s="164"/>
      <c r="AM32" s="164">
        <f>AJ32+AK32+AL32</f>
        <v>257600</v>
      </c>
    </row>
    <row r="33" spans="1:39" s="4" customFormat="1" ht="14.25">
      <c r="A33" s="162"/>
      <c r="B33" s="329"/>
      <c r="C33" s="329"/>
      <c r="D33" s="329"/>
      <c r="E33" s="164"/>
      <c r="F33" s="164"/>
      <c r="G33" s="163"/>
      <c r="H33" s="164"/>
      <c r="I33" s="164"/>
      <c r="J33" s="163"/>
      <c r="K33" s="163"/>
      <c r="L33" s="163"/>
      <c r="M33" s="163"/>
      <c r="N33" s="163">
        <v>0</v>
      </c>
      <c r="O33" s="414"/>
      <c r="P33" s="164"/>
      <c r="Q33" s="157">
        <f>83200*P33</f>
        <v>0</v>
      </c>
      <c r="R33" s="163"/>
      <c r="S33" s="163"/>
      <c r="T33" s="164">
        <f aca="true" t="shared" si="12" ref="T33:T71">Q33+R33+S33</f>
        <v>0</v>
      </c>
      <c r="U33" s="163"/>
      <c r="V33" s="163"/>
      <c r="W33" s="163"/>
      <c r="X33" s="163"/>
      <c r="Y33" s="163"/>
      <c r="Z33" s="163">
        <v>0</v>
      </c>
      <c r="AA33" s="414"/>
      <c r="AB33" s="164"/>
      <c r="AC33" s="425"/>
      <c r="AD33" s="425"/>
      <c r="AE33" s="425"/>
      <c r="AF33" s="164">
        <f aca="true" t="shared" si="13" ref="AF33:AF71">AC33+AD33+AE33</f>
        <v>0</v>
      </c>
      <c r="AG33" s="163">
        <v>0</v>
      </c>
      <c r="AH33" s="164"/>
      <c r="AI33" s="164"/>
      <c r="AJ33" s="163"/>
      <c r="AK33" s="163"/>
      <c r="AL33" s="163"/>
      <c r="AM33" s="164">
        <f aca="true" t="shared" si="14" ref="AM33:AM71">AJ33+AK33+AL33</f>
        <v>0</v>
      </c>
    </row>
    <row r="34" spans="1:39" s="4" customFormat="1" ht="13.5">
      <c r="A34" s="157"/>
      <c r="B34" s="213" t="s">
        <v>116</v>
      </c>
      <c r="C34" s="213"/>
      <c r="D34" s="213"/>
      <c r="E34" s="164"/>
      <c r="F34" s="164"/>
      <c r="G34" s="132"/>
      <c r="H34" s="164"/>
      <c r="I34" s="164"/>
      <c r="J34" s="132"/>
      <c r="K34" s="132"/>
      <c r="L34" s="132"/>
      <c r="M34" s="132"/>
      <c r="N34" s="132"/>
      <c r="O34" s="414"/>
      <c r="P34" s="164"/>
      <c r="Q34" s="132"/>
      <c r="R34" s="132"/>
      <c r="S34" s="132"/>
      <c r="T34" s="164">
        <f t="shared" si="12"/>
        <v>0</v>
      </c>
      <c r="U34" s="132"/>
      <c r="V34" s="132"/>
      <c r="W34" s="132"/>
      <c r="X34" s="132"/>
      <c r="Y34" s="132"/>
      <c r="Z34" s="132"/>
      <c r="AA34" s="414"/>
      <c r="AB34" s="164"/>
      <c r="AC34" s="132"/>
      <c r="AD34" s="132"/>
      <c r="AE34" s="132"/>
      <c r="AF34" s="164">
        <f t="shared" si="13"/>
        <v>0</v>
      </c>
      <c r="AG34" s="132"/>
      <c r="AH34" s="164"/>
      <c r="AI34" s="164"/>
      <c r="AJ34" s="132"/>
      <c r="AK34" s="132"/>
      <c r="AL34" s="132"/>
      <c r="AM34" s="164">
        <f t="shared" si="14"/>
        <v>0</v>
      </c>
    </row>
    <row r="35" spans="1:39" s="4" customFormat="1" ht="38.25">
      <c r="A35" s="157"/>
      <c r="B35" s="362" t="s">
        <v>146</v>
      </c>
      <c r="C35" s="362"/>
      <c r="D35" s="362"/>
      <c r="E35" s="164"/>
      <c r="F35" s="164"/>
      <c r="G35" s="132"/>
      <c r="H35" s="164"/>
      <c r="I35" s="164"/>
      <c r="J35" s="132"/>
      <c r="K35" s="132"/>
      <c r="L35" s="132"/>
      <c r="M35" s="132"/>
      <c r="N35" s="132"/>
      <c r="O35" s="414"/>
      <c r="P35" s="164"/>
      <c r="Q35" s="132"/>
      <c r="R35" s="132"/>
      <c r="S35" s="132"/>
      <c r="T35" s="164">
        <f t="shared" si="12"/>
        <v>0</v>
      </c>
      <c r="U35" s="132"/>
      <c r="V35" s="132"/>
      <c r="W35" s="132"/>
      <c r="X35" s="132"/>
      <c r="Y35" s="132"/>
      <c r="Z35" s="132"/>
      <c r="AA35" s="414"/>
      <c r="AB35" s="164"/>
      <c r="AC35" s="132"/>
      <c r="AD35" s="132"/>
      <c r="AE35" s="132"/>
      <c r="AF35" s="164">
        <f t="shared" si="13"/>
        <v>0</v>
      </c>
      <c r="AG35" s="132"/>
      <c r="AH35" s="164"/>
      <c r="AI35" s="164"/>
      <c r="AJ35" s="132"/>
      <c r="AK35" s="132"/>
      <c r="AL35" s="132"/>
      <c r="AM35" s="164">
        <f t="shared" si="14"/>
        <v>0</v>
      </c>
    </row>
    <row r="36" spans="1:39" s="4" customFormat="1" ht="13.5">
      <c r="A36" s="157"/>
      <c r="B36" s="213" t="s">
        <v>147</v>
      </c>
      <c r="C36" s="213"/>
      <c r="D36" s="213"/>
      <c r="E36" s="164"/>
      <c r="F36" s="164"/>
      <c r="G36" s="132"/>
      <c r="H36" s="164"/>
      <c r="I36" s="164"/>
      <c r="J36" s="132"/>
      <c r="K36" s="132"/>
      <c r="L36" s="132"/>
      <c r="M36" s="132"/>
      <c r="N36" s="132"/>
      <c r="O36" s="414"/>
      <c r="P36" s="164"/>
      <c r="Q36" s="132"/>
      <c r="R36" s="132"/>
      <c r="S36" s="132"/>
      <c r="T36" s="164">
        <f t="shared" si="12"/>
        <v>0</v>
      </c>
      <c r="U36" s="132"/>
      <c r="V36" s="132"/>
      <c r="W36" s="132"/>
      <c r="X36" s="132"/>
      <c r="Y36" s="132"/>
      <c r="Z36" s="132"/>
      <c r="AA36" s="414"/>
      <c r="AB36" s="164"/>
      <c r="AC36" s="132"/>
      <c r="AD36" s="132"/>
      <c r="AE36" s="132"/>
      <c r="AF36" s="164">
        <f t="shared" si="13"/>
        <v>0</v>
      </c>
      <c r="AG36" s="132"/>
      <c r="AH36" s="164"/>
      <c r="AI36" s="164"/>
      <c r="AJ36" s="132"/>
      <c r="AK36" s="132"/>
      <c r="AL36" s="132"/>
      <c r="AM36" s="164">
        <f t="shared" si="14"/>
        <v>0</v>
      </c>
    </row>
    <row r="37" spans="1:39" s="551" customFormat="1" ht="13.5">
      <c r="A37" s="549"/>
      <c r="B37" s="543" t="s">
        <v>581</v>
      </c>
      <c r="C37" s="543"/>
      <c r="D37" s="543"/>
      <c r="E37" s="543"/>
      <c r="F37" s="552"/>
      <c r="G37" s="546"/>
      <c r="H37" s="549"/>
      <c r="I37" s="549"/>
      <c r="J37" s="546"/>
      <c r="K37" s="546"/>
      <c r="L37" s="546"/>
      <c r="M37" s="547"/>
      <c r="N37" s="546"/>
      <c r="O37" s="549"/>
      <c r="P37" s="549"/>
      <c r="Q37" s="546"/>
      <c r="R37" s="546"/>
      <c r="S37" s="546"/>
      <c r="T37" s="547">
        <f t="shared" si="12"/>
        <v>0</v>
      </c>
      <c r="U37" s="547"/>
      <c r="V37" s="547"/>
      <c r="W37" s="547"/>
      <c r="X37" s="547"/>
      <c r="Y37" s="547"/>
      <c r="Z37" s="546"/>
      <c r="AA37" s="549"/>
      <c r="AB37" s="549"/>
      <c r="AC37" s="546"/>
      <c r="AD37" s="546"/>
      <c r="AE37" s="546"/>
      <c r="AF37" s="547">
        <f t="shared" si="13"/>
        <v>0</v>
      </c>
      <c r="AG37" s="546"/>
      <c r="AH37" s="549"/>
      <c r="AI37" s="549"/>
      <c r="AJ37" s="546"/>
      <c r="AK37" s="546"/>
      <c r="AL37" s="546"/>
      <c r="AM37" s="547">
        <f t="shared" si="14"/>
        <v>0</v>
      </c>
    </row>
    <row r="38" spans="1:39" s="4" customFormat="1" ht="13.5">
      <c r="A38" s="429">
        <v>3</v>
      </c>
      <c r="B38" s="430" t="s">
        <v>367</v>
      </c>
      <c r="C38" s="430" t="s">
        <v>821</v>
      </c>
      <c r="D38" s="430">
        <v>1970</v>
      </c>
      <c r="E38" s="430" t="s">
        <v>368</v>
      </c>
      <c r="F38" s="431" t="s">
        <v>744</v>
      </c>
      <c r="G38" s="63">
        <v>1</v>
      </c>
      <c r="H38" s="164">
        <v>9</v>
      </c>
      <c r="I38" s="419">
        <v>5.34</v>
      </c>
      <c r="J38" s="157">
        <f>+I38*83200</f>
        <v>444288</v>
      </c>
      <c r="K38" s="157">
        <v>8000</v>
      </c>
      <c r="L38" s="157"/>
      <c r="M38" s="164">
        <f>J38+K38+L38</f>
        <v>452288</v>
      </c>
      <c r="N38" s="157">
        <v>1</v>
      </c>
      <c r="O38" s="414">
        <v>8</v>
      </c>
      <c r="P38" s="419">
        <v>5.34</v>
      </c>
      <c r="Q38" s="157">
        <f>+P38*83200</f>
        <v>444288</v>
      </c>
      <c r="R38" s="157">
        <v>8000</v>
      </c>
      <c r="S38" s="157"/>
      <c r="T38" s="164">
        <f t="shared" si="12"/>
        <v>452288</v>
      </c>
      <c r="U38" s="157">
        <v>1</v>
      </c>
      <c r="V38" s="164">
        <f aca="true" t="shared" si="15" ref="V38:X47">J38-Q38</f>
        <v>0</v>
      </c>
      <c r="W38" s="164">
        <f t="shared" si="15"/>
        <v>0</v>
      </c>
      <c r="X38" s="164">
        <f t="shared" si="15"/>
        <v>0</v>
      </c>
      <c r="Y38" s="164">
        <f>V38+W38+X38</f>
        <v>0</v>
      </c>
      <c r="Z38" s="63">
        <v>1</v>
      </c>
      <c r="AA38" s="337">
        <v>10</v>
      </c>
      <c r="AB38" s="419">
        <v>5.34</v>
      </c>
      <c r="AC38" s="157">
        <f>+AB38*83200</f>
        <v>444288</v>
      </c>
      <c r="AD38" s="157">
        <v>8000</v>
      </c>
      <c r="AE38" s="157"/>
      <c r="AF38" s="164">
        <f t="shared" si="13"/>
        <v>452288</v>
      </c>
      <c r="AG38" s="63">
        <v>1</v>
      </c>
      <c r="AH38" s="157">
        <f>+AA38+1</f>
        <v>11</v>
      </c>
      <c r="AI38" s="157">
        <v>5.34</v>
      </c>
      <c r="AJ38" s="426">
        <f>+AI38*83200</f>
        <v>444288</v>
      </c>
      <c r="AK38" s="157">
        <v>8000</v>
      </c>
      <c r="AL38" s="157"/>
      <c r="AM38" s="164">
        <f t="shared" si="14"/>
        <v>452288</v>
      </c>
    </row>
    <row r="39" spans="1:39" s="4" customFormat="1" ht="13.5">
      <c r="A39" s="429">
        <v>5</v>
      </c>
      <c r="B39" s="423" t="s">
        <v>369</v>
      </c>
      <c r="C39" s="423" t="s">
        <v>821</v>
      </c>
      <c r="D39" s="423">
        <v>1959</v>
      </c>
      <c r="E39" s="430" t="s">
        <v>372</v>
      </c>
      <c r="F39" s="433" t="s">
        <v>745</v>
      </c>
      <c r="G39" s="63">
        <v>1</v>
      </c>
      <c r="H39" s="164">
        <v>9</v>
      </c>
      <c r="I39" s="419">
        <v>4.4</v>
      </c>
      <c r="J39" s="157">
        <f aca="true" t="shared" si="16" ref="J39:J54">+I39*83200</f>
        <v>366080.00000000006</v>
      </c>
      <c r="K39" s="157">
        <v>8000</v>
      </c>
      <c r="L39" s="432">
        <v>0</v>
      </c>
      <c r="M39" s="164">
        <f aca="true" t="shared" si="17" ref="M39:M76">J39+K39+L39</f>
        <v>374080.00000000006</v>
      </c>
      <c r="N39" s="157">
        <v>1</v>
      </c>
      <c r="O39" s="414">
        <v>8</v>
      </c>
      <c r="P39" s="419">
        <v>4.4</v>
      </c>
      <c r="Q39" s="157">
        <f aca="true" t="shared" si="18" ref="Q39:Q54">+P39*83200</f>
        <v>366080.00000000006</v>
      </c>
      <c r="R39" s="157">
        <v>8000</v>
      </c>
      <c r="S39" s="432">
        <v>0</v>
      </c>
      <c r="T39" s="164">
        <f t="shared" si="12"/>
        <v>374080.00000000006</v>
      </c>
      <c r="U39" s="157">
        <v>1</v>
      </c>
      <c r="V39" s="164">
        <f t="shared" si="15"/>
        <v>0</v>
      </c>
      <c r="W39" s="164">
        <f t="shared" si="15"/>
        <v>0</v>
      </c>
      <c r="X39" s="164">
        <f t="shared" si="15"/>
        <v>0</v>
      </c>
      <c r="Y39" s="164">
        <f aca="true" t="shared" si="19" ref="Y39:Y75">V39+W39+X39</f>
        <v>0</v>
      </c>
      <c r="Z39" s="63">
        <v>1</v>
      </c>
      <c r="AA39" s="337">
        <v>10</v>
      </c>
      <c r="AB39" s="419">
        <v>4.4</v>
      </c>
      <c r="AC39" s="157">
        <f aca="true" t="shared" si="20" ref="AC39:AC54">+AB39*83200</f>
        <v>366080.00000000006</v>
      </c>
      <c r="AD39" s="157">
        <v>8000</v>
      </c>
      <c r="AE39" s="432">
        <v>0</v>
      </c>
      <c r="AF39" s="164">
        <f t="shared" si="13"/>
        <v>374080.00000000006</v>
      </c>
      <c r="AG39" s="63">
        <v>1</v>
      </c>
      <c r="AH39" s="157">
        <f aca="true" t="shared" si="21" ref="AH39:AH56">+AA39+1</f>
        <v>11</v>
      </c>
      <c r="AI39" s="157">
        <v>4.4</v>
      </c>
      <c r="AJ39" s="426">
        <f aca="true" t="shared" si="22" ref="AJ39:AJ54">+AI39*83200</f>
        <v>366080.00000000006</v>
      </c>
      <c r="AK39" s="157">
        <v>8000</v>
      </c>
      <c r="AL39" s="432">
        <v>0</v>
      </c>
      <c r="AM39" s="164">
        <f t="shared" si="14"/>
        <v>374080.00000000006</v>
      </c>
    </row>
    <row r="40" spans="1:39" s="4" customFormat="1" ht="13.5">
      <c r="A40" s="429">
        <v>6</v>
      </c>
      <c r="B40" s="423" t="s">
        <v>371</v>
      </c>
      <c r="C40" s="423" t="s">
        <v>823</v>
      </c>
      <c r="D40" s="423">
        <v>1984</v>
      </c>
      <c r="E40" s="430" t="s">
        <v>372</v>
      </c>
      <c r="F40" s="433" t="s">
        <v>746</v>
      </c>
      <c r="G40" s="63">
        <v>1</v>
      </c>
      <c r="H40" s="164">
        <v>7</v>
      </c>
      <c r="I40" s="419">
        <v>3.76</v>
      </c>
      <c r="J40" s="157">
        <f t="shared" si="16"/>
        <v>312832</v>
      </c>
      <c r="K40" s="157">
        <v>8000</v>
      </c>
      <c r="L40" s="432">
        <v>0</v>
      </c>
      <c r="M40" s="164">
        <f t="shared" si="17"/>
        <v>320832</v>
      </c>
      <c r="N40" s="157">
        <v>1</v>
      </c>
      <c r="O40" s="414">
        <v>6</v>
      </c>
      <c r="P40" s="419">
        <v>3.76</v>
      </c>
      <c r="Q40" s="157">
        <f t="shared" si="18"/>
        <v>312832</v>
      </c>
      <c r="R40" s="157">
        <v>8000</v>
      </c>
      <c r="S40" s="432">
        <v>0</v>
      </c>
      <c r="T40" s="164">
        <f t="shared" si="12"/>
        <v>320832</v>
      </c>
      <c r="U40" s="157">
        <v>1</v>
      </c>
      <c r="V40" s="164">
        <f t="shared" si="15"/>
        <v>0</v>
      </c>
      <c r="W40" s="164">
        <f t="shared" si="15"/>
        <v>0</v>
      </c>
      <c r="X40" s="164">
        <f t="shared" si="15"/>
        <v>0</v>
      </c>
      <c r="Y40" s="164">
        <f t="shared" si="19"/>
        <v>0</v>
      </c>
      <c r="Z40" s="63">
        <v>1</v>
      </c>
      <c r="AA40" s="337">
        <v>8</v>
      </c>
      <c r="AB40" s="419">
        <v>3.88</v>
      </c>
      <c r="AC40" s="157">
        <f t="shared" si="20"/>
        <v>322816</v>
      </c>
      <c r="AD40" s="157">
        <v>8000</v>
      </c>
      <c r="AE40" s="432">
        <v>0</v>
      </c>
      <c r="AF40" s="164">
        <f t="shared" si="13"/>
        <v>330816</v>
      </c>
      <c r="AG40" s="63">
        <v>1</v>
      </c>
      <c r="AH40" s="157">
        <f t="shared" si="21"/>
        <v>9</v>
      </c>
      <c r="AI40" s="157">
        <v>3.88</v>
      </c>
      <c r="AJ40" s="426">
        <f t="shared" si="22"/>
        <v>322816</v>
      </c>
      <c r="AK40" s="157">
        <v>8000</v>
      </c>
      <c r="AL40" s="432">
        <v>0</v>
      </c>
      <c r="AM40" s="164">
        <f t="shared" si="14"/>
        <v>330816</v>
      </c>
    </row>
    <row r="41" spans="1:39" s="4" customFormat="1" ht="13.5">
      <c r="A41" s="429">
        <v>7</v>
      </c>
      <c r="B41" s="423" t="s">
        <v>373</v>
      </c>
      <c r="C41" s="423" t="s">
        <v>821</v>
      </c>
      <c r="D41" s="423">
        <v>1988</v>
      </c>
      <c r="E41" s="430" t="s">
        <v>372</v>
      </c>
      <c r="F41" s="433" t="s">
        <v>747</v>
      </c>
      <c r="G41" s="63">
        <v>1</v>
      </c>
      <c r="H41" s="164">
        <v>8</v>
      </c>
      <c r="I41" s="419">
        <v>3.88</v>
      </c>
      <c r="J41" s="157">
        <f t="shared" si="16"/>
        <v>322816</v>
      </c>
      <c r="K41" s="157">
        <v>8000</v>
      </c>
      <c r="L41" s="432">
        <v>0</v>
      </c>
      <c r="M41" s="164">
        <f t="shared" si="17"/>
        <v>330816</v>
      </c>
      <c r="N41" s="157">
        <v>1</v>
      </c>
      <c r="O41" s="414">
        <v>7</v>
      </c>
      <c r="P41" s="419">
        <v>3.76</v>
      </c>
      <c r="Q41" s="157">
        <f t="shared" si="18"/>
        <v>312832</v>
      </c>
      <c r="R41" s="157">
        <v>8000</v>
      </c>
      <c r="S41" s="432">
        <v>0</v>
      </c>
      <c r="T41" s="164">
        <f t="shared" si="12"/>
        <v>320832</v>
      </c>
      <c r="U41" s="157">
        <v>1</v>
      </c>
      <c r="V41" s="164">
        <f t="shared" si="15"/>
        <v>9984</v>
      </c>
      <c r="W41" s="164">
        <f t="shared" si="15"/>
        <v>0</v>
      </c>
      <c r="X41" s="164">
        <f t="shared" si="15"/>
        <v>0</v>
      </c>
      <c r="Y41" s="164">
        <f t="shared" si="19"/>
        <v>9984</v>
      </c>
      <c r="Z41" s="63">
        <v>1</v>
      </c>
      <c r="AA41" s="337">
        <v>9</v>
      </c>
      <c r="AB41" s="419">
        <v>3.88</v>
      </c>
      <c r="AC41" s="157">
        <f t="shared" si="20"/>
        <v>322816</v>
      </c>
      <c r="AD41" s="157">
        <v>8000</v>
      </c>
      <c r="AE41" s="432">
        <v>0</v>
      </c>
      <c r="AF41" s="164">
        <f t="shared" si="13"/>
        <v>330816</v>
      </c>
      <c r="AG41" s="63">
        <v>1</v>
      </c>
      <c r="AH41" s="157">
        <f t="shared" si="21"/>
        <v>10</v>
      </c>
      <c r="AI41" s="157">
        <v>4.01</v>
      </c>
      <c r="AJ41" s="426">
        <f t="shared" si="22"/>
        <v>333632</v>
      </c>
      <c r="AK41" s="157">
        <v>8000</v>
      </c>
      <c r="AL41" s="432">
        <v>0</v>
      </c>
      <c r="AM41" s="164">
        <f t="shared" si="14"/>
        <v>341632</v>
      </c>
    </row>
    <row r="42" spans="1:39" s="4" customFormat="1" ht="13.5">
      <c r="A42" s="429">
        <v>8</v>
      </c>
      <c r="B42" s="423" t="s">
        <v>374</v>
      </c>
      <c r="C42" s="423" t="s">
        <v>821</v>
      </c>
      <c r="D42" s="423">
        <v>1961</v>
      </c>
      <c r="E42" s="430" t="s">
        <v>375</v>
      </c>
      <c r="F42" s="433" t="s">
        <v>748</v>
      </c>
      <c r="G42" s="63">
        <v>1</v>
      </c>
      <c r="H42" s="164">
        <v>7</v>
      </c>
      <c r="I42" s="419">
        <v>3.76</v>
      </c>
      <c r="J42" s="157">
        <f t="shared" si="16"/>
        <v>312832</v>
      </c>
      <c r="K42" s="157">
        <v>8000</v>
      </c>
      <c r="L42" s="432">
        <v>0</v>
      </c>
      <c r="M42" s="164">
        <f t="shared" si="17"/>
        <v>320832</v>
      </c>
      <c r="N42" s="157">
        <v>1</v>
      </c>
      <c r="O42" s="414">
        <v>6</v>
      </c>
      <c r="P42" s="419">
        <v>3.76</v>
      </c>
      <c r="Q42" s="157">
        <f t="shared" si="18"/>
        <v>312832</v>
      </c>
      <c r="R42" s="157">
        <v>8000</v>
      </c>
      <c r="S42" s="432">
        <v>0</v>
      </c>
      <c r="T42" s="164">
        <f t="shared" si="12"/>
        <v>320832</v>
      </c>
      <c r="U42" s="157">
        <v>1</v>
      </c>
      <c r="V42" s="164">
        <f t="shared" si="15"/>
        <v>0</v>
      </c>
      <c r="W42" s="164">
        <f t="shared" si="15"/>
        <v>0</v>
      </c>
      <c r="X42" s="164">
        <f t="shared" si="15"/>
        <v>0</v>
      </c>
      <c r="Y42" s="164">
        <f t="shared" si="19"/>
        <v>0</v>
      </c>
      <c r="Z42" s="63">
        <v>1</v>
      </c>
      <c r="AA42" s="337">
        <v>8</v>
      </c>
      <c r="AB42" s="419">
        <v>3.88</v>
      </c>
      <c r="AC42" s="157">
        <f t="shared" si="20"/>
        <v>322816</v>
      </c>
      <c r="AD42" s="157">
        <v>8000</v>
      </c>
      <c r="AE42" s="432">
        <v>0</v>
      </c>
      <c r="AF42" s="164">
        <f t="shared" si="13"/>
        <v>330816</v>
      </c>
      <c r="AG42" s="63">
        <v>1</v>
      </c>
      <c r="AH42" s="157">
        <f t="shared" si="21"/>
        <v>9</v>
      </c>
      <c r="AI42" s="157">
        <v>3.88</v>
      </c>
      <c r="AJ42" s="426">
        <f t="shared" si="22"/>
        <v>322816</v>
      </c>
      <c r="AK42" s="157">
        <v>8000</v>
      </c>
      <c r="AL42" s="432">
        <v>0</v>
      </c>
      <c r="AM42" s="164">
        <f t="shared" si="14"/>
        <v>330816</v>
      </c>
    </row>
    <row r="43" spans="1:39" s="551" customFormat="1" ht="25.5">
      <c r="A43" s="542"/>
      <c r="B43" s="543" t="s">
        <v>377</v>
      </c>
      <c r="C43" s="543"/>
      <c r="D43" s="543"/>
      <c r="E43" s="544"/>
      <c r="F43" s="545"/>
      <c r="G43" s="546"/>
      <c r="H43" s="547"/>
      <c r="I43" s="548"/>
      <c r="J43" s="549">
        <f t="shared" si="16"/>
        <v>0</v>
      </c>
      <c r="K43" s="546"/>
      <c r="L43" s="546"/>
      <c r="M43" s="547">
        <f t="shared" si="17"/>
        <v>0</v>
      </c>
      <c r="N43" s="546"/>
      <c r="O43" s="547"/>
      <c r="P43" s="547"/>
      <c r="Q43" s="549">
        <f t="shared" si="18"/>
        <v>0</v>
      </c>
      <c r="R43" s="549"/>
      <c r="S43" s="546"/>
      <c r="T43" s="547">
        <f t="shared" si="12"/>
        <v>0</v>
      </c>
      <c r="U43" s="546"/>
      <c r="V43" s="547"/>
      <c r="W43" s="547"/>
      <c r="X43" s="547"/>
      <c r="Y43" s="547"/>
      <c r="Z43" s="546"/>
      <c r="AA43" s="549"/>
      <c r="AB43" s="547"/>
      <c r="AC43" s="546">
        <f t="shared" si="20"/>
        <v>0</v>
      </c>
      <c r="AD43" s="546"/>
      <c r="AE43" s="546"/>
      <c r="AF43" s="547">
        <f t="shared" si="13"/>
        <v>0</v>
      </c>
      <c r="AG43" s="546"/>
      <c r="AH43" s="549"/>
      <c r="AI43" s="549"/>
      <c r="AJ43" s="550">
        <f t="shared" si="22"/>
        <v>0</v>
      </c>
      <c r="AK43" s="549"/>
      <c r="AL43" s="546"/>
      <c r="AM43" s="547">
        <f t="shared" si="14"/>
        <v>0</v>
      </c>
    </row>
    <row r="44" spans="1:39" s="4" customFormat="1" ht="13.5">
      <c r="A44" s="429">
        <v>11</v>
      </c>
      <c r="B44" s="430" t="s">
        <v>378</v>
      </c>
      <c r="C44" s="430" t="s">
        <v>821</v>
      </c>
      <c r="D44" s="430">
        <v>1961</v>
      </c>
      <c r="E44" s="430" t="s">
        <v>370</v>
      </c>
      <c r="F44" s="433" t="s">
        <v>749</v>
      </c>
      <c r="G44" s="63">
        <v>1</v>
      </c>
      <c r="H44" s="164">
        <v>9</v>
      </c>
      <c r="I44" s="419">
        <v>4.4</v>
      </c>
      <c r="J44" s="157">
        <f t="shared" si="16"/>
        <v>366080.00000000006</v>
      </c>
      <c r="K44" s="63">
        <v>8000</v>
      </c>
      <c r="L44" s="432">
        <f>+J44*5%</f>
        <v>18304.000000000004</v>
      </c>
      <c r="M44" s="164">
        <f t="shared" si="17"/>
        <v>392384.00000000006</v>
      </c>
      <c r="N44" s="63">
        <v>1</v>
      </c>
      <c r="O44" s="414">
        <v>8</v>
      </c>
      <c r="P44" s="419">
        <v>4.4</v>
      </c>
      <c r="Q44" s="157">
        <f t="shared" si="18"/>
        <v>366080.00000000006</v>
      </c>
      <c r="R44" s="157">
        <v>8000</v>
      </c>
      <c r="S44" s="432">
        <f>+Q44*5%</f>
        <v>18304.000000000004</v>
      </c>
      <c r="T44" s="164">
        <f t="shared" si="12"/>
        <v>392384.00000000006</v>
      </c>
      <c r="U44" s="63">
        <v>1</v>
      </c>
      <c r="V44" s="164">
        <f t="shared" si="15"/>
        <v>0</v>
      </c>
      <c r="W44" s="164">
        <f t="shared" si="15"/>
        <v>0</v>
      </c>
      <c r="X44" s="164">
        <f t="shared" si="15"/>
        <v>0</v>
      </c>
      <c r="Y44" s="164">
        <f t="shared" si="19"/>
        <v>0</v>
      </c>
      <c r="Z44" s="63">
        <v>1</v>
      </c>
      <c r="AA44" s="337">
        <v>10</v>
      </c>
      <c r="AB44" s="419">
        <v>4.4</v>
      </c>
      <c r="AC44" s="157">
        <f t="shared" si="20"/>
        <v>366080.00000000006</v>
      </c>
      <c r="AD44" s="157">
        <v>8000</v>
      </c>
      <c r="AE44" s="432">
        <f>+AC44*5%</f>
        <v>18304.000000000004</v>
      </c>
      <c r="AF44" s="164">
        <f t="shared" si="13"/>
        <v>392384.00000000006</v>
      </c>
      <c r="AG44" s="63">
        <v>1</v>
      </c>
      <c r="AH44" s="157">
        <f t="shared" si="21"/>
        <v>11</v>
      </c>
      <c r="AI44" s="157">
        <v>4.4</v>
      </c>
      <c r="AJ44" s="426">
        <f t="shared" si="22"/>
        <v>366080.00000000006</v>
      </c>
      <c r="AK44" s="157">
        <v>8000</v>
      </c>
      <c r="AL44" s="432">
        <f>+AJ44*5%</f>
        <v>18304.000000000004</v>
      </c>
      <c r="AM44" s="164">
        <f t="shared" si="14"/>
        <v>392384.00000000006</v>
      </c>
    </row>
    <row r="45" spans="1:39" s="4" customFormat="1" ht="18.75" customHeight="1">
      <c r="A45" s="429">
        <v>12</v>
      </c>
      <c r="B45" s="430" t="s">
        <v>379</v>
      </c>
      <c r="C45" s="430" t="s">
        <v>821</v>
      </c>
      <c r="D45" s="430">
        <v>1982</v>
      </c>
      <c r="E45" s="430" t="s">
        <v>375</v>
      </c>
      <c r="F45" s="433" t="s">
        <v>750</v>
      </c>
      <c r="G45" s="63">
        <v>1</v>
      </c>
      <c r="H45" s="164">
        <v>11</v>
      </c>
      <c r="I45" s="419">
        <v>4.01</v>
      </c>
      <c r="J45" s="157">
        <f t="shared" si="16"/>
        <v>333632</v>
      </c>
      <c r="K45" s="63">
        <v>8000</v>
      </c>
      <c r="L45" s="432">
        <f>+J45*5%</f>
        <v>16681.600000000002</v>
      </c>
      <c r="M45" s="164">
        <f t="shared" si="17"/>
        <v>358313.6</v>
      </c>
      <c r="N45" s="63">
        <v>1</v>
      </c>
      <c r="O45" s="414">
        <v>10</v>
      </c>
      <c r="P45" s="419">
        <v>4.01</v>
      </c>
      <c r="Q45" s="157">
        <f t="shared" si="18"/>
        <v>333632</v>
      </c>
      <c r="R45" s="157">
        <v>8000</v>
      </c>
      <c r="S45" s="432">
        <f>+Q45*5%</f>
        <v>16681.600000000002</v>
      </c>
      <c r="T45" s="164">
        <f t="shared" si="12"/>
        <v>358313.6</v>
      </c>
      <c r="U45" s="63">
        <v>1</v>
      </c>
      <c r="V45" s="164">
        <f t="shared" si="15"/>
        <v>0</v>
      </c>
      <c r="W45" s="164">
        <f t="shared" si="15"/>
        <v>0</v>
      </c>
      <c r="X45" s="164">
        <f t="shared" si="15"/>
        <v>0</v>
      </c>
      <c r="Y45" s="164">
        <f t="shared" si="19"/>
        <v>0</v>
      </c>
      <c r="Z45" s="63">
        <v>1</v>
      </c>
      <c r="AA45" s="337">
        <v>12</v>
      </c>
      <c r="AB45" s="419">
        <v>4.01</v>
      </c>
      <c r="AC45" s="157">
        <f t="shared" si="20"/>
        <v>333632</v>
      </c>
      <c r="AD45" s="157">
        <v>8000</v>
      </c>
      <c r="AE45" s="432">
        <f>+AC45*5%</f>
        <v>16681.600000000002</v>
      </c>
      <c r="AF45" s="164">
        <f t="shared" si="13"/>
        <v>358313.6</v>
      </c>
      <c r="AG45" s="63">
        <v>1</v>
      </c>
      <c r="AH45" s="157">
        <f t="shared" si="21"/>
        <v>13</v>
      </c>
      <c r="AI45" s="157">
        <v>4.13</v>
      </c>
      <c r="AJ45" s="426">
        <f t="shared" si="22"/>
        <v>343616</v>
      </c>
      <c r="AK45" s="157">
        <v>8000</v>
      </c>
      <c r="AL45" s="432">
        <f>+AJ45*5%</f>
        <v>17180.8</v>
      </c>
      <c r="AM45" s="164">
        <f t="shared" si="14"/>
        <v>368796.8</v>
      </c>
    </row>
    <row r="46" spans="1:39" s="4" customFormat="1" ht="13.5">
      <c r="A46" s="429">
        <v>0</v>
      </c>
      <c r="B46" s="415" t="s">
        <v>381</v>
      </c>
      <c r="C46" s="415" t="s">
        <v>823</v>
      </c>
      <c r="D46" s="415">
        <v>1982</v>
      </c>
      <c r="E46" s="430" t="s">
        <v>375</v>
      </c>
      <c r="F46" s="433" t="s">
        <v>751</v>
      </c>
      <c r="G46" s="63">
        <v>1</v>
      </c>
      <c r="H46" s="164">
        <v>2</v>
      </c>
      <c r="I46" s="419">
        <v>3.42</v>
      </c>
      <c r="J46" s="157">
        <f t="shared" si="16"/>
        <v>284544</v>
      </c>
      <c r="K46" s="63">
        <v>8000</v>
      </c>
      <c r="L46" s="432">
        <v>0</v>
      </c>
      <c r="M46" s="164">
        <f t="shared" si="17"/>
        <v>292544</v>
      </c>
      <c r="N46" s="63">
        <v>1</v>
      </c>
      <c r="O46" s="414">
        <v>1</v>
      </c>
      <c r="P46" s="419">
        <v>3.31</v>
      </c>
      <c r="Q46" s="157">
        <f t="shared" si="18"/>
        <v>275392</v>
      </c>
      <c r="R46" s="157">
        <v>8000</v>
      </c>
      <c r="S46" s="432">
        <v>0</v>
      </c>
      <c r="T46" s="164">
        <f t="shared" si="12"/>
        <v>283392</v>
      </c>
      <c r="U46" s="63">
        <v>1</v>
      </c>
      <c r="V46" s="164">
        <f t="shared" si="15"/>
        <v>9152</v>
      </c>
      <c r="W46" s="164">
        <f t="shared" si="15"/>
        <v>0</v>
      </c>
      <c r="X46" s="164">
        <f t="shared" si="15"/>
        <v>0</v>
      </c>
      <c r="Y46" s="164">
        <f t="shared" si="19"/>
        <v>9152</v>
      </c>
      <c r="Z46" s="63">
        <v>1</v>
      </c>
      <c r="AA46" s="337">
        <v>3</v>
      </c>
      <c r="AB46" s="419">
        <v>3.53</v>
      </c>
      <c r="AC46" s="157">
        <f t="shared" si="20"/>
        <v>293696</v>
      </c>
      <c r="AD46" s="157">
        <v>8000</v>
      </c>
      <c r="AE46" s="432">
        <v>0</v>
      </c>
      <c r="AF46" s="164">
        <f t="shared" si="13"/>
        <v>301696</v>
      </c>
      <c r="AG46" s="63">
        <v>1</v>
      </c>
      <c r="AH46" s="157">
        <f t="shared" si="21"/>
        <v>4</v>
      </c>
      <c r="AI46" s="157">
        <v>3.64</v>
      </c>
      <c r="AJ46" s="426">
        <f t="shared" si="22"/>
        <v>302848</v>
      </c>
      <c r="AK46" s="157">
        <v>8000</v>
      </c>
      <c r="AL46" s="432">
        <v>0</v>
      </c>
      <c r="AM46" s="164">
        <f t="shared" si="14"/>
        <v>310848</v>
      </c>
    </row>
    <row r="47" spans="1:39" s="4" customFormat="1" ht="13.5">
      <c r="A47" s="429">
        <v>14</v>
      </c>
      <c r="B47" s="430" t="s">
        <v>380</v>
      </c>
      <c r="C47" s="430" t="s">
        <v>821</v>
      </c>
      <c r="D47" s="430">
        <v>1961</v>
      </c>
      <c r="E47" s="430" t="s">
        <v>375</v>
      </c>
      <c r="F47" s="433" t="s">
        <v>752</v>
      </c>
      <c r="G47" s="63">
        <v>1</v>
      </c>
      <c r="H47" s="164">
        <v>14</v>
      </c>
      <c r="I47" s="419">
        <v>4.13</v>
      </c>
      <c r="J47" s="157">
        <f t="shared" si="16"/>
        <v>343616</v>
      </c>
      <c r="K47" s="63">
        <v>8000</v>
      </c>
      <c r="L47" s="432">
        <f>+J47*5%</f>
        <v>17180.8</v>
      </c>
      <c r="M47" s="164">
        <f t="shared" si="17"/>
        <v>368796.8</v>
      </c>
      <c r="N47" s="63">
        <v>1</v>
      </c>
      <c r="O47" s="414">
        <v>13</v>
      </c>
      <c r="P47" s="419">
        <v>4.13</v>
      </c>
      <c r="Q47" s="157">
        <f t="shared" si="18"/>
        <v>343616</v>
      </c>
      <c r="R47" s="157">
        <v>8000</v>
      </c>
      <c r="S47" s="432">
        <f>+Q47*5%</f>
        <v>17180.8</v>
      </c>
      <c r="T47" s="164">
        <f t="shared" si="12"/>
        <v>368796.8</v>
      </c>
      <c r="U47" s="63">
        <v>1</v>
      </c>
      <c r="V47" s="164">
        <f t="shared" si="15"/>
        <v>0</v>
      </c>
      <c r="W47" s="164">
        <f t="shared" si="15"/>
        <v>0</v>
      </c>
      <c r="X47" s="164">
        <f t="shared" si="15"/>
        <v>0</v>
      </c>
      <c r="Y47" s="164">
        <f t="shared" si="19"/>
        <v>0</v>
      </c>
      <c r="Z47" s="63">
        <v>1</v>
      </c>
      <c r="AA47" s="337">
        <v>15</v>
      </c>
      <c r="AB47" s="419">
        <v>4.13</v>
      </c>
      <c r="AC47" s="157">
        <f t="shared" si="20"/>
        <v>343616</v>
      </c>
      <c r="AD47" s="157">
        <v>8000</v>
      </c>
      <c r="AE47" s="432">
        <f>+AC47*5%</f>
        <v>17180.8</v>
      </c>
      <c r="AF47" s="164">
        <f t="shared" si="13"/>
        <v>368796.8</v>
      </c>
      <c r="AG47" s="63">
        <v>1</v>
      </c>
      <c r="AH47" s="157">
        <f t="shared" si="21"/>
        <v>16</v>
      </c>
      <c r="AI47" s="157">
        <v>4.27</v>
      </c>
      <c r="AJ47" s="426">
        <f t="shared" si="22"/>
        <v>355263.99999999994</v>
      </c>
      <c r="AK47" s="157">
        <v>8000</v>
      </c>
      <c r="AL47" s="432">
        <f>+AJ47*5%</f>
        <v>17763.199999999997</v>
      </c>
      <c r="AM47" s="164">
        <f t="shared" si="14"/>
        <v>381027.19999999995</v>
      </c>
    </row>
    <row r="48" spans="1:39" s="551" customFormat="1" ht="38.25">
      <c r="A48" s="542"/>
      <c r="B48" s="543" t="s">
        <v>582</v>
      </c>
      <c r="C48" s="543"/>
      <c r="D48" s="543"/>
      <c r="E48" s="553"/>
      <c r="F48" s="554"/>
      <c r="G48" s="546"/>
      <c r="H48" s="547"/>
      <c r="I48" s="548"/>
      <c r="J48" s="549">
        <f t="shared" si="16"/>
        <v>0</v>
      </c>
      <c r="K48" s="546"/>
      <c r="L48" s="546"/>
      <c r="M48" s="547">
        <f t="shared" si="17"/>
        <v>0</v>
      </c>
      <c r="N48" s="546"/>
      <c r="O48" s="547"/>
      <c r="P48" s="547"/>
      <c r="Q48" s="549">
        <f t="shared" si="18"/>
        <v>0</v>
      </c>
      <c r="R48" s="546"/>
      <c r="S48" s="546"/>
      <c r="T48" s="547">
        <f t="shared" si="12"/>
        <v>0</v>
      </c>
      <c r="U48" s="546"/>
      <c r="V48" s="547"/>
      <c r="W48" s="547"/>
      <c r="X48" s="547"/>
      <c r="Y48" s="547"/>
      <c r="Z48" s="546"/>
      <c r="AA48" s="549"/>
      <c r="AB48" s="547"/>
      <c r="AC48" s="546">
        <f t="shared" si="20"/>
        <v>0</v>
      </c>
      <c r="AD48" s="546"/>
      <c r="AE48" s="546"/>
      <c r="AF48" s="547">
        <f t="shared" si="13"/>
        <v>0</v>
      </c>
      <c r="AG48" s="546"/>
      <c r="AH48" s="549"/>
      <c r="AI48" s="549"/>
      <c r="AJ48" s="550">
        <f t="shared" si="22"/>
        <v>0</v>
      </c>
      <c r="AK48" s="549"/>
      <c r="AL48" s="546"/>
      <c r="AM48" s="547">
        <f t="shared" si="14"/>
        <v>0</v>
      </c>
    </row>
    <row r="49" spans="1:39" s="453" customFormat="1" ht="13.5">
      <c r="A49" s="446">
        <v>17</v>
      </c>
      <c r="B49" s="510" t="s">
        <v>382</v>
      </c>
      <c r="C49" s="510" t="s">
        <v>821</v>
      </c>
      <c r="D49" s="510">
        <v>1963</v>
      </c>
      <c r="E49" s="447" t="s">
        <v>368</v>
      </c>
      <c r="F49" s="448" t="s">
        <v>685</v>
      </c>
      <c r="G49" s="449">
        <v>1</v>
      </c>
      <c r="H49" s="450">
        <v>7</v>
      </c>
      <c r="I49" s="451">
        <v>5.01</v>
      </c>
      <c r="J49" s="157">
        <f t="shared" si="16"/>
        <v>416832</v>
      </c>
      <c r="K49" s="449">
        <v>8000</v>
      </c>
      <c r="L49" s="449"/>
      <c r="M49" s="164">
        <f t="shared" si="17"/>
        <v>424832</v>
      </c>
      <c r="N49" s="449">
        <v>1</v>
      </c>
      <c r="O49" s="438">
        <v>6</v>
      </c>
      <c r="P49" s="451">
        <v>5.01</v>
      </c>
      <c r="Q49" s="157">
        <f t="shared" si="18"/>
        <v>416832</v>
      </c>
      <c r="R49" s="452">
        <v>8000</v>
      </c>
      <c r="S49" s="449"/>
      <c r="T49" s="164">
        <f t="shared" si="12"/>
        <v>424832</v>
      </c>
      <c r="U49" s="449">
        <v>1</v>
      </c>
      <c r="V49" s="450">
        <f aca="true" t="shared" si="23" ref="V49:X84">J49-Q49</f>
        <v>0</v>
      </c>
      <c r="W49" s="450">
        <f t="shared" si="23"/>
        <v>0</v>
      </c>
      <c r="X49" s="450">
        <f t="shared" si="23"/>
        <v>0</v>
      </c>
      <c r="Y49" s="450">
        <f t="shared" si="19"/>
        <v>0</v>
      </c>
      <c r="Z49" s="449">
        <v>1</v>
      </c>
      <c r="AA49" s="441">
        <v>8</v>
      </c>
      <c r="AB49" s="451">
        <v>5.01</v>
      </c>
      <c r="AC49" s="452">
        <f t="shared" si="20"/>
        <v>416832</v>
      </c>
      <c r="AD49" s="452">
        <v>8000</v>
      </c>
      <c r="AE49" s="449"/>
      <c r="AF49" s="164">
        <f t="shared" si="13"/>
        <v>424832</v>
      </c>
      <c r="AG49" s="449">
        <v>1</v>
      </c>
      <c r="AH49" s="452">
        <f t="shared" si="21"/>
        <v>9</v>
      </c>
      <c r="AI49" s="452">
        <v>5.01</v>
      </c>
      <c r="AJ49" s="426">
        <f t="shared" si="22"/>
        <v>416832</v>
      </c>
      <c r="AK49" s="452">
        <v>8000</v>
      </c>
      <c r="AL49" s="449"/>
      <c r="AM49" s="164">
        <f t="shared" si="14"/>
        <v>424832</v>
      </c>
    </row>
    <row r="50" spans="1:39" s="4" customFormat="1" ht="13.5">
      <c r="A50" s="429">
        <v>19</v>
      </c>
      <c r="B50" s="430" t="s">
        <v>383</v>
      </c>
      <c r="C50" s="430" t="s">
        <v>821</v>
      </c>
      <c r="D50" s="430">
        <v>1962</v>
      </c>
      <c r="E50" s="430" t="s">
        <v>375</v>
      </c>
      <c r="F50" s="433" t="s">
        <v>686</v>
      </c>
      <c r="G50" s="63">
        <v>1</v>
      </c>
      <c r="H50" s="164">
        <v>22</v>
      </c>
      <c r="I50" s="419">
        <v>4.4</v>
      </c>
      <c r="J50" s="157">
        <f t="shared" si="16"/>
        <v>366080.00000000006</v>
      </c>
      <c r="K50" s="63">
        <v>8000</v>
      </c>
      <c r="L50" s="432">
        <v>0</v>
      </c>
      <c r="M50" s="164">
        <f t="shared" si="17"/>
        <v>374080.00000000006</v>
      </c>
      <c r="N50" s="63">
        <v>1</v>
      </c>
      <c r="O50" s="414">
        <v>21</v>
      </c>
      <c r="P50" s="419">
        <v>4.4</v>
      </c>
      <c r="Q50" s="157">
        <f t="shared" si="18"/>
        <v>366080.00000000006</v>
      </c>
      <c r="R50" s="157">
        <v>8000</v>
      </c>
      <c r="S50" s="432">
        <v>0</v>
      </c>
      <c r="T50" s="164">
        <f t="shared" si="12"/>
        <v>374080.00000000006</v>
      </c>
      <c r="U50" s="63">
        <v>1</v>
      </c>
      <c r="V50" s="164">
        <f t="shared" si="23"/>
        <v>0</v>
      </c>
      <c r="W50" s="164">
        <f t="shared" si="23"/>
        <v>0</v>
      </c>
      <c r="X50" s="164">
        <f t="shared" si="23"/>
        <v>0</v>
      </c>
      <c r="Y50" s="164">
        <f t="shared" si="19"/>
        <v>0</v>
      </c>
      <c r="Z50" s="63">
        <v>1</v>
      </c>
      <c r="AA50" s="337">
        <v>23</v>
      </c>
      <c r="AB50" s="419">
        <v>4.4</v>
      </c>
      <c r="AC50" s="157">
        <f t="shared" si="20"/>
        <v>366080.00000000006</v>
      </c>
      <c r="AD50" s="157">
        <v>8000</v>
      </c>
      <c r="AE50" s="432">
        <v>0</v>
      </c>
      <c r="AF50" s="164">
        <f t="shared" si="13"/>
        <v>374080.00000000006</v>
      </c>
      <c r="AG50" s="63">
        <v>1</v>
      </c>
      <c r="AH50" s="157">
        <f t="shared" si="21"/>
        <v>24</v>
      </c>
      <c r="AI50" s="157">
        <v>4.4</v>
      </c>
      <c r="AJ50" s="426">
        <f t="shared" si="22"/>
        <v>366080.00000000006</v>
      </c>
      <c r="AK50" s="157">
        <v>8000</v>
      </c>
      <c r="AL50" s="432">
        <v>0</v>
      </c>
      <c r="AM50" s="164">
        <f t="shared" si="14"/>
        <v>374080.00000000006</v>
      </c>
    </row>
    <row r="51" spans="1:39" s="4" customFormat="1" ht="13.5">
      <c r="A51" s="429">
        <v>20</v>
      </c>
      <c r="B51" s="423" t="s">
        <v>384</v>
      </c>
      <c r="C51" s="423" t="s">
        <v>821</v>
      </c>
      <c r="D51" s="423">
        <v>1962</v>
      </c>
      <c r="E51" s="430" t="s">
        <v>375</v>
      </c>
      <c r="F51" s="433" t="s">
        <v>687</v>
      </c>
      <c r="G51" s="63">
        <v>1</v>
      </c>
      <c r="H51" s="164">
        <v>10</v>
      </c>
      <c r="I51" s="419">
        <v>4.01</v>
      </c>
      <c r="J51" s="157">
        <f t="shared" si="16"/>
        <v>333632</v>
      </c>
      <c r="K51" s="63">
        <v>8000</v>
      </c>
      <c r="L51" s="432">
        <f>+J51*5%</f>
        <v>16681.600000000002</v>
      </c>
      <c r="M51" s="164">
        <f t="shared" si="17"/>
        <v>358313.6</v>
      </c>
      <c r="N51" s="63">
        <v>1</v>
      </c>
      <c r="O51" s="414">
        <v>9</v>
      </c>
      <c r="P51" s="419">
        <v>4.01</v>
      </c>
      <c r="Q51" s="157">
        <f t="shared" si="18"/>
        <v>333632</v>
      </c>
      <c r="R51" s="157">
        <v>8000</v>
      </c>
      <c r="S51" s="432">
        <f>+Q51*5%</f>
        <v>16681.600000000002</v>
      </c>
      <c r="T51" s="164">
        <f t="shared" si="12"/>
        <v>358313.6</v>
      </c>
      <c r="U51" s="63">
        <v>1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19"/>
        <v>0</v>
      </c>
      <c r="Z51" s="63">
        <v>1</v>
      </c>
      <c r="AA51" s="337">
        <v>11</v>
      </c>
      <c r="AB51" s="419">
        <v>4.01</v>
      </c>
      <c r="AC51" s="157">
        <f t="shared" si="20"/>
        <v>333632</v>
      </c>
      <c r="AD51" s="157">
        <v>8000</v>
      </c>
      <c r="AE51" s="432">
        <f>+AC51*5%</f>
        <v>16681.600000000002</v>
      </c>
      <c r="AF51" s="164">
        <f t="shared" si="13"/>
        <v>358313.6</v>
      </c>
      <c r="AG51" s="63">
        <v>1</v>
      </c>
      <c r="AH51" s="157">
        <f t="shared" si="21"/>
        <v>12</v>
      </c>
      <c r="AI51" s="157">
        <v>4.01</v>
      </c>
      <c r="AJ51" s="426">
        <f t="shared" si="22"/>
        <v>333632</v>
      </c>
      <c r="AK51" s="157">
        <v>8000</v>
      </c>
      <c r="AL51" s="432">
        <f>+AJ51*5%</f>
        <v>16681.600000000002</v>
      </c>
      <c r="AM51" s="164">
        <f t="shared" si="14"/>
        <v>358313.6</v>
      </c>
    </row>
    <row r="52" spans="1:39" s="406" customFormat="1" ht="13.5">
      <c r="A52" s="454">
        <v>21</v>
      </c>
      <c r="B52" s="416" t="s">
        <v>562</v>
      </c>
      <c r="C52" s="416" t="s">
        <v>821</v>
      </c>
      <c r="D52" s="416">
        <v>1967</v>
      </c>
      <c r="E52" s="415" t="s">
        <v>375</v>
      </c>
      <c r="F52" s="436" t="s">
        <v>688</v>
      </c>
      <c r="G52" s="444">
        <v>1</v>
      </c>
      <c r="H52" s="414">
        <v>2</v>
      </c>
      <c r="I52" s="445">
        <v>3.42</v>
      </c>
      <c r="J52" s="337">
        <f t="shared" si="16"/>
        <v>284544</v>
      </c>
      <c r="K52" s="444">
        <v>8000</v>
      </c>
      <c r="L52" s="470"/>
      <c r="M52" s="414">
        <f t="shared" si="17"/>
        <v>292544</v>
      </c>
      <c r="N52" s="444">
        <v>1</v>
      </c>
      <c r="O52" s="414">
        <v>1</v>
      </c>
      <c r="P52" s="445">
        <v>3.31</v>
      </c>
      <c r="Q52" s="337">
        <f t="shared" si="18"/>
        <v>275392</v>
      </c>
      <c r="R52" s="337">
        <v>8000</v>
      </c>
      <c r="S52" s="470"/>
      <c r="T52" s="414">
        <f t="shared" si="12"/>
        <v>283392</v>
      </c>
      <c r="U52" s="444">
        <v>1</v>
      </c>
      <c r="V52" s="414">
        <f t="shared" si="23"/>
        <v>9152</v>
      </c>
      <c r="W52" s="414">
        <f t="shared" si="23"/>
        <v>0</v>
      </c>
      <c r="X52" s="414">
        <f t="shared" si="23"/>
        <v>0</v>
      </c>
      <c r="Y52" s="414">
        <f t="shared" si="19"/>
        <v>9152</v>
      </c>
      <c r="Z52" s="444">
        <v>1</v>
      </c>
      <c r="AA52" s="337">
        <v>3</v>
      </c>
      <c r="AB52" s="445">
        <v>3.53</v>
      </c>
      <c r="AC52" s="337">
        <f t="shared" si="20"/>
        <v>293696</v>
      </c>
      <c r="AD52" s="337">
        <v>8000</v>
      </c>
      <c r="AE52" s="470"/>
      <c r="AF52" s="414">
        <f t="shared" si="13"/>
        <v>301696</v>
      </c>
      <c r="AG52" s="444">
        <v>1</v>
      </c>
      <c r="AH52" s="337">
        <f t="shared" si="21"/>
        <v>4</v>
      </c>
      <c r="AI52" s="337">
        <v>3.64</v>
      </c>
      <c r="AJ52" s="629">
        <f t="shared" si="22"/>
        <v>302848</v>
      </c>
      <c r="AK52" s="337">
        <v>8000</v>
      </c>
      <c r="AL52" s="470"/>
      <c r="AM52" s="414">
        <f t="shared" si="14"/>
        <v>310848</v>
      </c>
    </row>
    <row r="53" spans="1:39" s="453" customFormat="1" ht="13.5">
      <c r="A53" s="446">
        <v>24</v>
      </c>
      <c r="B53" s="423" t="s">
        <v>385</v>
      </c>
      <c r="C53" s="423" t="s">
        <v>821</v>
      </c>
      <c r="D53" s="423">
        <v>1959</v>
      </c>
      <c r="E53" s="447" t="s">
        <v>372</v>
      </c>
      <c r="F53" s="448" t="s">
        <v>689</v>
      </c>
      <c r="G53" s="449">
        <v>1</v>
      </c>
      <c r="H53" s="450">
        <v>7</v>
      </c>
      <c r="I53" s="451">
        <v>4.01</v>
      </c>
      <c r="J53" s="157">
        <f t="shared" si="16"/>
        <v>333632</v>
      </c>
      <c r="K53" s="449">
        <v>8000</v>
      </c>
      <c r="L53" s="449"/>
      <c r="M53" s="164">
        <f t="shared" si="17"/>
        <v>341632</v>
      </c>
      <c r="N53" s="449">
        <v>1</v>
      </c>
      <c r="O53" s="438">
        <v>6</v>
      </c>
      <c r="P53" s="451">
        <v>4.01</v>
      </c>
      <c r="Q53" s="157">
        <f t="shared" si="18"/>
        <v>333632</v>
      </c>
      <c r="R53" s="452">
        <v>8000</v>
      </c>
      <c r="S53" s="449"/>
      <c r="T53" s="164">
        <f t="shared" si="12"/>
        <v>341632</v>
      </c>
      <c r="U53" s="449">
        <v>1</v>
      </c>
      <c r="V53" s="450">
        <f t="shared" si="23"/>
        <v>0</v>
      </c>
      <c r="W53" s="450">
        <f t="shared" si="23"/>
        <v>0</v>
      </c>
      <c r="X53" s="450">
        <f t="shared" si="23"/>
        <v>0</v>
      </c>
      <c r="Y53" s="450">
        <f t="shared" si="19"/>
        <v>0</v>
      </c>
      <c r="Z53" s="449">
        <v>1</v>
      </c>
      <c r="AA53" s="441">
        <v>8</v>
      </c>
      <c r="AB53" s="451">
        <v>4.01</v>
      </c>
      <c r="AC53" s="452">
        <f t="shared" si="20"/>
        <v>333632</v>
      </c>
      <c r="AD53" s="452">
        <v>8000</v>
      </c>
      <c r="AE53" s="449"/>
      <c r="AF53" s="164">
        <f t="shared" si="13"/>
        <v>341632</v>
      </c>
      <c r="AG53" s="449">
        <v>1</v>
      </c>
      <c r="AH53" s="452">
        <f t="shared" si="21"/>
        <v>9</v>
      </c>
      <c r="AI53" s="452">
        <v>4.01</v>
      </c>
      <c r="AJ53" s="426">
        <f t="shared" si="22"/>
        <v>333632</v>
      </c>
      <c r="AK53" s="452">
        <v>8000</v>
      </c>
      <c r="AL53" s="449"/>
      <c r="AM53" s="164">
        <f t="shared" si="14"/>
        <v>341632</v>
      </c>
    </row>
    <row r="54" spans="1:39" s="406" customFormat="1" ht="13.5">
      <c r="A54" s="454">
        <v>25</v>
      </c>
      <c r="B54" s="423" t="s">
        <v>563</v>
      </c>
      <c r="C54" s="423" t="s">
        <v>823</v>
      </c>
      <c r="D54" s="423">
        <v>1971</v>
      </c>
      <c r="E54" s="415" t="s">
        <v>375</v>
      </c>
      <c r="F54" s="455" t="s">
        <v>690</v>
      </c>
      <c r="G54" s="444">
        <v>1</v>
      </c>
      <c r="H54" s="414">
        <v>2</v>
      </c>
      <c r="I54" s="445">
        <v>3.42</v>
      </c>
      <c r="J54" s="157">
        <f t="shared" si="16"/>
        <v>284544</v>
      </c>
      <c r="K54" s="444">
        <v>8000</v>
      </c>
      <c r="L54" s="444"/>
      <c r="M54" s="164">
        <f t="shared" si="17"/>
        <v>292544</v>
      </c>
      <c r="N54" s="444">
        <v>1</v>
      </c>
      <c r="O54" s="414">
        <v>1</v>
      </c>
      <c r="P54" s="445">
        <v>3.31</v>
      </c>
      <c r="Q54" s="157">
        <f t="shared" si="18"/>
        <v>275392</v>
      </c>
      <c r="R54" s="337">
        <v>8000</v>
      </c>
      <c r="S54" s="444"/>
      <c r="T54" s="164">
        <f t="shared" si="12"/>
        <v>283392</v>
      </c>
      <c r="U54" s="444">
        <v>1</v>
      </c>
      <c r="V54" s="414">
        <f t="shared" si="23"/>
        <v>9152</v>
      </c>
      <c r="W54" s="414">
        <f t="shared" si="23"/>
        <v>0</v>
      </c>
      <c r="X54" s="414">
        <f t="shared" si="23"/>
        <v>0</v>
      </c>
      <c r="Y54" s="414">
        <f t="shared" si="19"/>
        <v>9152</v>
      </c>
      <c r="Z54" s="444">
        <v>1</v>
      </c>
      <c r="AA54" s="337">
        <v>3</v>
      </c>
      <c r="AB54" s="445">
        <v>3.53</v>
      </c>
      <c r="AC54" s="337">
        <f t="shared" si="20"/>
        <v>293696</v>
      </c>
      <c r="AD54" s="337">
        <v>8000</v>
      </c>
      <c r="AE54" s="444"/>
      <c r="AF54" s="164">
        <f t="shared" si="13"/>
        <v>301696</v>
      </c>
      <c r="AG54" s="444">
        <v>1</v>
      </c>
      <c r="AH54" s="337">
        <v>4</v>
      </c>
      <c r="AI54" s="337">
        <v>3.64</v>
      </c>
      <c r="AJ54" s="426">
        <f t="shared" si="22"/>
        <v>302848</v>
      </c>
      <c r="AK54" s="337">
        <v>8000</v>
      </c>
      <c r="AL54" s="444"/>
      <c r="AM54" s="164">
        <f t="shared" si="14"/>
        <v>310848</v>
      </c>
    </row>
    <row r="55" spans="1:39" s="551" customFormat="1" ht="36.75" customHeight="1">
      <c r="A55" s="542"/>
      <c r="B55" s="555" t="s">
        <v>386</v>
      </c>
      <c r="C55" s="555"/>
      <c r="D55" s="555"/>
      <c r="E55" s="544"/>
      <c r="F55" s="545"/>
      <c r="G55" s="546"/>
      <c r="H55" s="547"/>
      <c r="I55" s="548"/>
      <c r="J55" s="546"/>
      <c r="K55" s="546"/>
      <c r="L55" s="546"/>
      <c r="M55" s="547">
        <f t="shared" si="17"/>
        <v>0</v>
      </c>
      <c r="N55" s="546"/>
      <c r="O55" s="547"/>
      <c r="P55" s="548"/>
      <c r="Q55" s="546"/>
      <c r="R55" s="546"/>
      <c r="S55" s="546"/>
      <c r="T55" s="547">
        <f t="shared" si="12"/>
        <v>0</v>
      </c>
      <c r="U55" s="546"/>
      <c r="V55" s="547"/>
      <c r="W55" s="547"/>
      <c r="X55" s="547"/>
      <c r="Y55" s="547"/>
      <c r="Z55" s="546"/>
      <c r="AA55" s="549"/>
      <c r="AB55" s="547"/>
      <c r="AC55" s="546"/>
      <c r="AD55" s="546"/>
      <c r="AE55" s="546"/>
      <c r="AF55" s="547">
        <f t="shared" si="13"/>
        <v>0</v>
      </c>
      <c r="AG55" s="546"/>
      <c r="AH55" s="549"/>
      <c r="AI55" s="549"/>
      <c r="AJ55" s="546"/>
      <c r="AK55" s="549"/>
      <c r="AL55" s="546"/>
      <c r="AM55" s="547">
        <f t="shared" si="14"/>
        <v>0</v>
      </c>
    </row>
    <row r="56" spans="1:39" s="443" customFormat="1" ht="13.5">
      <c r="A56" s="434">
        <v>27</v>
      </c>
      <c r="B56" s="423" t="s">
        <v>387</v>
      </c>
      <c r="C56" s="423" t="s">
        <v>821</v>
      </c>
      <c r="D56" s="423">
        <v>1976</v>
      </c>
      <c r="E56" s="435" t="s">
        <v>388</v>
      </c>
      <c r="F56" s="455" t="s">
        <v>691</v>
      </c>
      <c r="G56" s="437">
        <v>1</v>
      </c>
      <c r="H56" s="438">
        <v>6</v>
      </c>
      <c r="I56" s="439">
        <v>5.01</v>
      </c>
      <c r="J56" s="437">
        <f>+I56*83200</f>
        <v>416832</v>
      </c>
      <c r="K56" s="437">
        <v>8000</v>
      </c>
      <c r="L56" s="437"/>
      <c r="M56" s="164">
        <f t="shared" si="17"/>
        <v>424832</v>
      </c>
      <c r="N56" s="437">
        <v>1</v>
      </c>
      <c r="O56" s="438">
        <v>5</v>
      </c>
      <c r="P56" s="439">
        <v>5.01</v>
      </c>
      <c r="Q56" s="441">
        <f>+P56*83200</f>
        <v>416832</v>
      </c>
      <c r="R56" s="441">
        <v>8000</v>
      </c>
      <c r="S56" s="437"/>
      <c r="T56" s="164">
        <f t="shared" si="12"/>
        <v>424832</v>
      </c>
      <c r="U56" s="437">
        <v>1</v>
      </c>
      <c r="V56" s="438">
        <f t="shared" si="23"/>
        <v>0</v>
      </c>
      <c r="W56" s="438">
        <f t="shared" si="23"/>
        <v>0</v>
      </c>
      <c r="X56" s="438">
        <f t="shared" si="23"/>
        <v>0</v>
      </c>
      <c r="Y56" s="438">
        <f t="shared" si="19"/>
        <v>0</v>
      </c>
      <c r="Z56" s="437">
        <v>1</v>
      </c>
      <c r="AA56" s="441">
        <v>7</v>
      </c>
      <c r="AB56" s="456">
        <v>5.01</v>
      </c>
      <c r="AC56" s="441">
        <f>+AB56*83200</f>
        <v>416832</v>
      </c>
      <c r="AD56" s="441">
        <v>8000</v>
      </c>
      <c r="AE56" s="437"/>
      <c r="AF56" s="164">
        <f t="shared" si="13"/>
        <v>424832</v>
      </c>
      <c r="AG56" s="437">
        <v>1</v>
      </c>
      <c r="AH56" s="157">
        <f t="shared" si="21"/>
        <v>8</v>
      </c>
      <c r="AI56" s="441">
        <v>5.01</v>
      </c>
      <c r="AJ56" s="442">
        <f>+AI56*83200</f>
        <v>416832</v>
      </c>
      <c r="AK56" s="441">
        <v>8000</v>
      </c>
      <c r="AL56" s="437"/>
      <c r="AM56" s="164">
        <f t="shared" si="14"/>
        <v>424832</v>
      </c>
    </row>
    <row r="57" spans="1:39" s="4" customFormat="1" ht="25.5">
      <c r="A57" s="429">
        <v>29</v>
      </c>
      <c r="B57" s="423" t="s">
        <v>389</v>
      </c>
      <c r="C57" s="423" t="s">
        <v>821</v>
      </c>
      <c r="D57" s="423">
        <v>1963</v>
      </c>
      <c r="E57" s="430" t="s">
        <v>372</v>
      </c>
      <c r="F57" s="455" t="s">
        <v>692</v>
      </c>
      <c r="G57" s="63">
        <v>1</v>
      </c>
      <c r="H57" s="164">
        <v>24</v>
      </c>
      <c r="I57" s="419">
        <v>4.4</v>
      </c>
      <c r="J57" s="437">
        <f aca="true" t="shared" si="24" ref="J57:J64">+I57*83200</f>
        <v>366080.00000000006</v>
      </c>
      <c r="K57" s="63">
        <v>8000</v>
      </c>
      <c r="L57" s="432">
        <v>0</v>
      </c>
      <c r="M57" s="164">
        <f t="shared" si="17"/>
        <v>374080.00000000006</v>
      </c>
      <c r="N57" s="63">
        <v>1</v>
      </c>
      <c r="O57" s="414">
        <v>23</v>
      </c>
      <c r="P57" s="419">
        <v>4.4</v>
      </c>
      <c r="Q57" s="441">
        <f aca="true" t="shared" si="25" ref="Q57:Q64">+P57*83200</f>
        <v>366080.00000000006</v>
      </c>
      <c r="R57" s="157">
        <v>8000</v>
      </c>
      <c r="S57" s="432">
        <v>0</v>
      </c>
      <c r="T57" s="164">
        <f t="shared" si="12"/>
        <v>374080.00000000006</v>
      </c>
      <c r="U57" s="63">
        <v>1</v>
      </c>
      <c r="V57" s="164">
        <f t="shared" si="23"/>
        <v>0</v>
      </c>
      <c r="W57" s="164">
        <f t="shared" si="23"/>
        <v>0</v>
      </c>
      <c r="X57" s="164">
        <f t="shared" si="23"/>
        <v>0</v>
      </c>
      <c r="Y57" s="164">
        <f t="shared" si="19"/>
        <v>0</v>
      </c>
      <c r="Z57" s="63">
        <v>1</v>
      </c>
      <c r="AA57" s="337">
        <v>25</v>
      </c>
      <c r="AB57" s="419">
        <v>4.4</v>
      </c>
      <c r="AC57" s="157">
        <f aca="true" t="shared" si="26" ref="AC57:AC64">+AB57*83200</f>
        <v>366080.00000000006</v>
      </c>
      <c r="AD57" s="157">
        <v>8000</v>
      </c>
      <c r="AE57" s="432">
        <v>0</v>
      </c>
      <c r="AF57" s="164">
        <f t="shared" si="13"/>
        <v>374080.00000000006</v>
      </c>
      <c r="AG57" s="63">
        <v>1</v>
      </c>
      <c r="AH57" s="157">
        <f aca="true" t="shared" si="27" ref="AH57:AH66">+AA57+1</f>
        <v>26</v>
      </c>
      <c r="AI57" s="157">
        <v>4.4</v>
      </c>
      <c r="AJ57" s="442">
        <f aca="true" t="shared" si="28" ref="AJ57:AJ64">+AI57*83200</f>
        <v>366080.00000000006</v>
      </c>
      <c r="AK57" s="157">
        <v>8000</v>
      </c>
      <c r="AL57" s="432">
        <v>0</v>
      </c>
      <c r="AM57" s="164">
        <f t="shared" si="14"/>
        <v>374080.00000000006</v>
      </c>
    </row>
    <row r="58" spans="1:39" s="4" customFormat="1" ht="13.5">
      <c r="A58" s="429">
        <v>30</v>
      </c>
      <c r="B58" s="423" t="s">
        <v>482</v>
      </c>
      <c r="C58" s="423" t="s">
        <v>823</v>
      </c>
      <c r="D58" s="423">
        <v>1987</v>
      </c>
      <c r="E58" s="430" t="s">
        <v>375</v>
      </c>
      <c r="F58" s="455" t="s">
        <v>693</v>
      </c>
      <c r="G58" s="63">
        <v>1</v>
      </c>
      <c r="H58" s="164">
        <v>3</v>
      </c>
      <c r="I58" s="419">
        <v>3.53</v>
      </c>
      <c r="J58" s="437">
        <f t="shared" si="24"/>
        <v>293696</v>
      </c>
      <c r="K58" s="63">
        <v>8000</v>
      </c>
      <c r="L58" s="63"/>
      <c r="M58" s="164">
        <f t="shared" si="17"/>
        <v>301696</v>
      </c>
      <c r="N58" s="63">
        <v>1</v>
      </c>
      <c r="O58" s="414">
        <v>2</v>
      </c>
      <c r="P58" s="419">
        <v>3.42</v>
      </c>
      <c r="Q58" s="441">
        <f t="shared" si="25"/>
        <v>284544</v>
      </c>
      <c r="R58" s="157">
        <v>8000</v>
      </c>
      <c r="S58" s="63"/>
      <c r="T58" s="164">
        <f t="shared" si="12"/>
        <v>292544</v>
      </c>
      <c r="U58" s="63">
        <v>1</v>
      </c>
      <c r="V58" s="164">
        <f t="shared" si="23"/>
        <v>9152</v>
      </c>
      <c r="W58" s="164">
        <f t="shared" si="23"/>
        <v>0</v>
      </c>
      <c r="X58" s="164">
        <f t="shared" si="23"/>
        <v>0</v>
      </c>
      <c r="Y58" s="164">
        <f t="shared" si="19"/>
        <v>9152</v>
      </c>
      <c r="Z58" s="63">
        <v>1</v>
      </c>
      <c r="AA58" s="337">
        <v>4</v>
      </c>
      <c r="AB58" s="419">
        <v>3.64</v>
      </c>
      <c r="AC58" s="157">
        <f t="shared" si="26"/>
        <v>302848</v>
      </c>
      <c r="AD58" s="157">
        <v>8000</v>
      </c>
      <c r="AE58" s="63"/>
      <c r="AF58" s="164">
        <f t="shared" si="13"/>
        <v>310848</v>
      </c>
      <c r="AG58" s="63">
        <v>1</v>
      </c>
      <c r="AH58" s="157">
        <f t="shared" si="27"/>
        <v>5</v>
      </c>
      <c r="AI58" s="157">
        <v>3.64</v>
      </c>
      <c r="AJ58" s="442">
        <f t="shared" si="28"/>
        <v>302848</v>
      </c>
      <c r="AK58" s="157">
        <v>8000</v>
      </c>
      <c r="AL58" s="63"/>
      <c r="AM58" s="164">
        <f t="shared" si="14"/>
        <v>310848</v>
      </c>
    </row>
    <row r="59" spans="1:39" s="464" customFormat="1" ht="22.5" customHeight="1">
      <c r="A59" s="457">
        <v>32</v>
      </c>
      <c r="B59" s="423" t="s">
        <v>483</v>
      </c>
      <c r="C59" s="423" t="s">
        <v>823</v>
      </c>
      <c r="D59" s="423">
        <v>1967</v>
      </c>
      <c r="E59" s="458" t="s">
        <v>375</v>
      </c>
      <c r="F59" s="455" t="s">
        <v>694</v>
      </c>
      <c r="G59" s="459">
        <v>1</v>
      </c>
      <c r="H59" s="460">
        <v>3</v>
      </c>
      <c r="I59" s="461">
        <v>3.53</v>
      </c>
      <c r="J59" s="437">
        <f t="shared" si="24"/>
        <v>293696</v>
      </c>
      <c r="K59" s="459">
        <v>8000</v>
      </c>
      <c r="L59" s="462"/>
      <c r="M59" s="164">
        <f t="shared" si="17"/>
        <v>301696</v>
      </c>
      <c r="N59" s="459">
        <v>1</v>
      </c>
      <c r="O59" s="460">
        <v>2</v>
      </c>
      <c r="P59" s="461">
        <v>3.42</v>
      </c>
      <c r="Q59" s="441">
        <f t="shared" si="25"/>
        <v>284544</v>
      </c>
      <c r="R59" s="157">
        <v>8000</v>
      </c>
      <c r="S59" s="462"/>
      <c r="T59" s="164">
        <f t="shared" si="12"/>
        <v>292544</v>
      </c>
      <c r="U59" s="459">
        <v>1</v>
      </c>
      <c r="V59" s="460">
        <f t="shared" si="23"/>
        <v>9152</v>
      </c>
      <c r="W59" s="460">
        <f t="shared" si="23"/>
        <v>0</v>
      </c>
      <c r="X59" s="460">
        <f t="shared" si="23"/>
        <v>0</v>
      </c>
      <c r="Y59" s="460">
        <f t="shared" si="19"/>
        <v>9152</v>
      </c>
      <c r="Z59" s="459">
        <v>1</v>
      </c>
      <c r="AA59" s="463">
        <v>4</v>
      </c>
      <c r="AB59" s="461">
        <v>3.64</v>
      </c>
      <c r="AC59" s="157">
        <f t="shared" si="26"/>
        <v>302848</v>
      </c>
      <c r="AD59" s="157">
        <v>8000</v>
      </c>
      <c r="AE59" s="462"/>
      <c r="AF59" s="164">
        <f t="shared" si="13"/>
        <v>310848</v>
      </c>
      <c r="AG59" s="459">
        <v>1</v>
      </c>
      <c r="AH59" s="157">
        <f t="shared" si="27"/>
        <v>5</v>
      </c>
      <c r="AI59" s="463">
        <v>3.64</v>
      </c>
      <c r="AJ59" s="442">
        <f t="shared" si="28"/>
        <v>302848</v>
      </c>
      <c r="AK59" s="157">
        <v>8000</v>
      </c>
      <c r="AL59" s="462"/>
      <c r="AM59" s="164">
        <f t="shared" si="14"/>
        <v>310848</v>
      </c>
    </row>
    <row r="60" spans="1:39" s="4" customFormat="1" ht="13.5">
      <c r="A60" s="429">
        <v>33</v>
      </c>
      <c r="B60" s="423" t="s">
        <v>390</v>
      </c>
      <c r="C60" s="423" t="s">
        <v>823</v>
      </c>
      <c r="D60" s="423">
        <v>1989</v>
      </c>
      <c r="E60" s="430" t="s">
        <v>375</v>
      </c>
      <c r="F60" s="455" t="s">
        <v>695</v>
      </c>
      <c r="G60" s="63">
        <v>1</v>
      </c>
      <c r="H60" s="164">
        <v>6</v>
      </c>
      <c r="I60" s="419">
        <v>3.76</v>
      </c>
      <c r="J60" s="437">
        <f t="shared" si="24"/>
        <v>312832</v>
      </c>
      <c r="K60" s="63">
        <v>8000</v>
      </c>
      <c r="L60" s="63"/>
      <c r="M60" s="164">
        <f t="shared" si="17"/>
        <v>320832</v>
      </c>
      <c r="N60" s="63">
        <v>1</v>
      </c>
      <c r="O60" s="414">
        <v>5</v>
      </c>
      <c r="P60" s="419">
        <v>3.64</v>
      </c>
      <c r="Q60" s="441">
        <f t="shared" si="25"/>
        <v>302848</v>
      </c>
      <c r="R60" s="157">
        <v>8000</v>
      </c>
      <c r="S60" s="63"/>
      <c r="T60" s="164">
        <f t="shared" si="12"/>
        <v>310848</v>
      </c>
      <c r="U60" s="63">
        <v>1</v>
      </c>
      <c r="V60" s="164">
        <f t="shared" si="23"/>
        <v>9984</v>
      </c>
      <c r="W60" s="164">
        <f t="shared" si="23"/>
        <v>0</v>
      </c>
      <c r="X60" s="164">
        <f t="shared" si="23"/>
        <v>0</v>
      </c>
      <c r="Y60" s="164">
        <f t="shared" si="19"/>
        <v>9984</v>
      </c>
      <c r="Z60" s="63">
        <v>1</v>
      </c>
      <c r="AA60" s="337">
        <v>7</v>
      </c>
      <c r="AB60" s="419">
        <v>3.76</v>
      </c>
      <c r="AC60" s="157">
        <f t="shared" si="26"/>
        <v>312832</v>
      </c>
      <c r="AD60" s="157">
        <v>8000</v>
      </c>
      <c r="AE60" s="63"/>
      <c r="AF60" s="164">
        <f t="shared" si="13"/>
        <v>320832</v>
      </c>
      <c r="AG60" s="63">
        <v>1</v>
      </c>
      <c r="AH60" s="157">
        <f t="shared" si="27"/>
        <v>8</v>
      </c>
      <c r="AI60" s="157">
        <v>3.88</v>
      </c>
      <c r="AJ60" s="442">
        <f t="shared" si="28"/>
        <v>322816</v>
      </c>
      <c r="AK60" s="157">
        <v>8000</v>
      </c>
      <c r="AL60" s="63"/>
      <c r="AM60" s="164">
        <f t="shared" si="14"/>
        <v>330816</v>
      </c>
    </row>
    <row r="61" spans="1:39" s="4" customFormat="1" ht="13.5">
      <c r="A61" s="429">
        <v>34</v>
      </c>
      <c r="B61" s="423" t="s">
        <v>391</v>
      </c>
      <c r="C61" s="423" t="s">
        <v>821</v>
      </c>
      <c r="D61" s="423">
        <v>1984</v>
      </c>
      <c r="E61" s="430" t="s">
        <v>375</v>
      </c>
      <c r="F61" s="455" t="s">
        <v>696</v>
      </c>
      <c r="G61" s="63">
        <v>1</v>
      </c>
      <c r="H61" s="164">
        <v>7</v>
      </c>
      <c r="I61" s="419">
        <v>3.76</v>
      </c>
      <c r="J61" s="437">
        <f t="shared" si="24"/>
        <v>312832</v>
      </c>
      <c r="K61" s="63">
        <v>8000</v>
      </c>
      <c r="L61" s="63"/>
      <c r="M61" s="164">
        <f t="shared" si="17"/>
        <v>320832</v>
      </c>
      <c r="N61" s="63">
        <v>1</v>
      </c>
      <c r="O61" s="414">
        <v>6</v>
      </c>
      <c r="P61" s="419">
        <v>3.76</v>
      </c>
      <c r="Q61" s="441">
        <f t="shared" si="25"/>
        <v>312832</v>
      </c>
      <c r="R61" s="157">
        <v>8000</v>
      </c>
      <c r="S61" s="63"/>
      <c r="T61" s="164">
        <f t="shared" si="12"/>
        <v>320832</v>
      </c>
      <c r="U61" s="63">
        <v>1</v>
      </c>
      <c r="V61" s="164">
        <f t="shared" si="23"/>
        <v>0</v>
      </c>
      <c r="W61" s="164">
        <f t="shared" si="23"/>
        <v>0</v>
      </c>
      <c r="X61" s="164">
        <f t="shared" si="23"/>
        <v>0</v>
      </c>
      <c r="Y61" s="164">
        <f t="shared" si="19"/>
        <v>0</v>
      </c>
      <c r="Z61" s="63">
        <v>1</v>
      </c>
      <c r="AA61" s="337">
        <v>8</v>
      </c>
      <c r="AB61" s="419">
        <v>3.88</v>
      </c>
      <c r="AC61" s="157">
        <f t="shared" si="26"/>
        <v>322816</v>
      </c>
      <c r="AD61" s="157">
        <v>8000</v>
      </c>
      <c r="AE61" s="63"/>
      <c r="AF61" s="164">
        <f t="shared" si="13"/>
        <v>330816</v>
      </c>
      <c r="AG61" s="63">
        <v>1</v>
      </c>
      <c r="AH61" s="157">
        <f t="shared" si="27"/>
        <v>9</v>
      </c>
      <c r="AI61" s="157">
        <v>3.88</v>
      </c>
      <c r="AJ61" s="442">
        <f t="shared" si="28"/>
        <v>322816</v>
      </c>
      <c r="AK61" s="157">
        <v>8000</v>
      </c>
      <c r="AL61" s="63"/>
      <c r="AM61" s="164">
        <f t="shared" si="14"/>
        <v>330816</v>
      </c>
    </row>
    <row r="62" spans="1:39" s="4" customFormat="1" ht="13.5">
      <c r="A62" s="429">
        <v>36</v>
      </c>
      <c r="B62" s="423" t="s">
        <v>393</v>
      </c>
      <c r="C62" s="423" t="s">
        <v>823</v>
      </c>
      <c r="D62" s="423">
        <v>1978</v>
      </c>
      <c r="E62" s="430" t="s">
        <v>376</v>
      </c>
      <c r="F62" s="455" t="s">
        <v>697</v>
      </c>
      <c r="G62" s="63">
        <v>1</v>
      </c>
      <c r="H62" s="164">
        <v>7</v>
      </c>
      <c r="I62" s="419">
        <v>1.96</v>
      </c>
      <c r="J62" s="437">
        <f t="shared" si="24"/>
        <v>163072</v>
      </c>
      <c r="K62" s="63">
        <v>8000</v>
      </c>
      <c r="L62" s="63"/>
      <c r="M62" s="164">
        <f t="shared" si="17"/>
        <v>171072</v>
      </c>
      <c r="N62" s="63">
        <v>1</v>
      </c>
      <c r="O62" s="414">
        <v>6</v>
      </c>
      <c r="P62" s="419">
        <v>1.96</v>
      </c>
      <c r="Q62" s="441">
        <f t="shared" si="25"/>
        <v>163072</v>
      </c>
      <c r="R62" s="157">
        <v>8000</v>
      </c>
      <c r="S62" s="63"/>
      <c r="T62" s="164">
        <f t="shared" si="12"/>
        <v>171072</v>
      </c>
      <c r="U62" s="63">
        <v>1</v>
      </c>
      <c r="V62" s="164">
        <f t="shared" si="23"/>
        <v>0</v>
      </c>
      <c r="W62" s="164">
        <f t="shared" si="23"/>
        <v>0</v>
      </c>
      <c r="X62" s="164">
        <f t="shared" si="23"/>
        <v>0</v>
      </c>
      <c r="Y62" s="164">
        <f t="shared" si="19"/>
        <v>0</v>
      </c>
      <c r="Z62" s="63">
        <v>1</v>
      </c>
      <c r="AA62" s="337">
        <v>8</v>
      </c>
      <c r="AB62" s="419">
        <v>2.02</v>
      </c>
      <c r="AC62" s="157">
        <f t="shared" si="26"/>
        <v>168064</v>
      </c>
      <c r="AD62" s="157">
        <v>8000</v>
      </c>
      <c r="AE62" s="63"/>
      <c r="AF62" s="164">
        <f t="shared" si="13"/>
        <v>176064</v>
      </c>
      <c r="AG62" s="63">
        <v>1</v>
      </c>
      <c r="AH62" s="157">
        <f t="shared" si="27"/>
        <v>9</v>
      </c>
      <c r="AI62" s="157">
        <v>2.02</v>
      </c>
      <c r="AJ62" s="442">
        <f t="shared" si="28"/>
        <v>168064</v>
      </c>
      <c r="AK62" s="157">
        <v>8000</v>
      </c>
      <c r="AL62" s="63"/>
      <c r="AM62" s="164">
        <f t="shared" si="14"/>
        <v>176064</v>
      </c>
    </row>
    <row r="63" spans="1:39" s="4" customFormat="1" ht="13.5">
      <c r="A63" s="429">
        <v>39</v>
      </c>
      <c r="B63" s="423" t="s">
        <v>394</v>
      </c>
      <c r="C63" s="423" t="s">
        <v>821</v>
      </c>
      <c r="D63" s="423">
        <v>1962</v>
      </c>
      <c r="E63" s="430" t="s">
        <v>375</v>
      </c>
      <c r="F63" s="433" t="s">
        <v>698</v>
      </c>
      <c r="G63" s="63">
        <v>1</v>
      </c>
      <c r="H63" s="164">
        <v>16</v>
      </c>
      <c r="I63" s="419">
        <v>4.4</v>
      </c>
      <c r="J63" s="437">
        <f t="shared" si="24"/>
        <v>366080.00000000006</v>
      </c>
      <c r="K63" s="63">
        <v>8000</v>
      </c>
      <c r="L63" s="432">
        <v>0</v>
      </c>
      <c r="M63" s="164">
        <f t="shared" si="17"/>
        <v>374080.00000000006</v>
      </c>
      <c r="N63" s="63">
        <v>1</v>
      </c>
      <c r="O63" s="414">
        <v>15</v>
      </c>
      <c r="P63" s="419">
        <v>4.4</v>
      </c>
      <c r="Q63" s="441">
        <f t="shared" si="25"/>
        <v>366080.00000000006</v>
      </c>
      <c r="R63" s="157">
        <v>8000</v>
      </c>
      <c r="S63" s="432">
        <v>0</v>
      </c>
      <c r="T63" s="164">
        <f t="shared" si="12"/>
        <v>374080.00000000006</v>
      </c>
      <c r="U63" s="63">
        <v>1</v>
      </c>
      <c r="V63" s="164">
        <f t="shared" si="23"/>
        <v>0</v>
      </c>
      <c r="W63" s="164">
        <f t="shared" si="23"/>
        <v>0</v>
      </c>
      <c r="X63" s="164">
        <f t="shared" si="23"/>
        <v>0</v>
      </c>
      <c r="Y63" s="164">
        <f t="shared" si="19"/>
        <v>0</v>
      </c>
      <c r="Z63" s="63">
        <v>1</v>
      </c>
      <c r="AA63" s="337">
        <v>17</v>
      </c>
      <c r="AB63" s="419">
        <v>4.4</v>
      </c>
      <c r="AC63" s="157">
        <f t="shared" si="26"/>
        <v>366080.00000000006</v>
      </c>
      <c r="AD63" s="157">
        <v>8000</v>
      </c>
      <c r="AE63" s="432">
        <v>0</v>
      </c>
      <c r="AF63" s="164">
        <f t="shared" si="13"/>
        <v>374080.00000000006</v>
      </c>
      <c r="AG63" s="63">
        <v>1</v>
      </c>
      <c r="AH63" s="157">
        <f t="shared" si="27"/>
        <v>18</v>
      </c>
      <c r="AI63" s="157">
        <v>4.4</v>
      </c>
      <c r="AJ63" s="442">
        <f t="shared" si="28"/>
        <v>366080.00000000006</v>
      </c>
      <c r="AK63" s="157">
        <v>8000</v>
      </c>
      <c r="AL63" s="432">
        <v>0</v>
      </c>
      <c r="AM63" s="164">
        <f t="shared" si="14"/>
        <v>374080.00000000006</v>
      </c>
    </row>
    <row r="64" spans="1:39" s="4" customFormat="1" ht="13.5">
      <c r="A64" s="429">
        <v>40</v>
      </c>
      <c r="B64" s="423" t="s">
        <v>395</v>
      </c>
      <c r="C64" s="423" t="s">
        <v>823</v>
      </c>
      <c r="D64" s="423">
        <v>1962</v>
      </c>
      <c r="E64" s="430" t="s">
        <v>375</v>
      </c>
      <c r="F64" s="433" t="s">
        <v>699</v>
      </c>
      <c r="G64" s="63">
        <v>1</v>
      </c>
      <c r="H64" s="164">
        <v>22</v>
      </c>
      <c r="I64" s="419">
        <v>4.4</v>
      </c>
      <c r="J64" s="437">
        <f t="shared" si="24"/>
        <v>366080.00000000006</v>
      </c>
      <c r="K64" s="63">
        <v>8000</v>
      </c>
      <c r="L64" s="432">
        <v>0</v>
      </c>
      <c r="M64" s="164">
        <f t="shared" si="17"/>
        <v>374080.00000000006</v>
      </c>
      <c r="N64" s="63">
        <v>1</v>
      </c>
      <c r="O64" s="414">
        <v>21</v>
      </c>
      <c r="P64" s="419">
        <v>4.4</v>
      </c>
      <c r="Q64" s="441">
        <f t="shared" si="25"/>
        <v>366080.00000000006</v>
      </c>
      <c r="R64" s="157">
        <v>8000</v>
      </c>
      <c r="S64" s="432">
        <v>0</v>
      </c>
      <c r="T64" s="164">
        <f t="shared" si="12"/>
        <v>374080.00000000006</v>
      </c>
      <c r="U64" s="63">
        <v>1</v>
      </c>
      <c r="V64" s="164">
        <f t="shared" si="23"/>
        <v>0</v>
      </c>
      <c r="W64" s="164">
        <f t="shared" si="23"/>
        <v>0</v>
      </c>
      <c r="X64" s="164">
        <f t="shared" si="23"/>
        <v>0</v>
      </c>
      <c r="Y64" s="164">
        <f t="shared" si="19"/>
        <v>0</v>
      </c>
      <c r="Z64" s="63">
        <v>1</v>
      </c>
      <c r="AA64" s="337">
        <v>23</v>
      </c>
      <c r="AB64" s="419">
        <v>4.4</v>
      </c>
      <c r="AC64" s="157">
        <f t="shared" si="26"/>
        <v>366080.00000000006</v>
      </c>
      <c r="AD64" s="157">
        <v>8000</v>
      </c>
      <c r="AE64" s="432">
        <v>0</v>
      </c>
      <c r="AF64" s="164">
        <f t="shared" si="13"/>
        <v>374080.00000000006</v>
      </c>
      <c r="AG64" s="63">
        <v>1</v>
      </c>
      <c r="AH64" s="157">
        <f t="shared" si="27"/>
        <v>24</v>
      </c>
      <c r="AI64" s="157">
        <v>4.4</v>
      </c>
      <c r="AJ64" s="442">
        <f t="shared" si="28"/>
        <v>366080.00000000006</v>
      </c>
      <c r="AK64" s="157">
        <v>8000</v>
      </c>
      <c r="AL64" s="432">
        <v>0</v>
      </c>
      <c r="AM64" s="164">
        <f t="shared" si="14"/>
        <v>374080.00000000006</v>
      </c>
    </row>
    <row r="65" spans="1:39" s="551" customFormat="1" ht="44.25" customHeight="1">
      <c r="A65" s="542"/>
      <c r="B65" s="555" t="s">
        <v>583</v>
      </c>
      <c r="C65" s="555"/>
      <c r="D65" s="555"/>
      <c r="E65" s="544"/>
      <c r="F65" s="545"/>
      <c r="G65" s="546"/>
      <c r="H65" s="547"/>
      <c r="I65" s="548"/>
      <c r="J65" s="546"/>
      <c r="K65" s="546"/>
      <c r="L65" s="546"/>
      <c r="M65" s="547">
        <f t="shared" si="17"/>
        <v>0</v>
      </c>
      <c r="N65" s="546"/>
      <c r="O65" s="547"/>
      <c r="P65" s="548"/>
      <c r="Q65" s="546"/>
      <c r="R65" s="546"/>
      <c r="S65" s="546"/>
      <c r="T65" s="547">
        <f t="shared" si="12"/>
        <v>0</v>
      </c>
      <c r="U65" s="546"/>
      <c r="V65" s="547"/>
      <c r="W65" s="547"/>
      <c r="X65" s="547"/>
      <c r="Y65" s="547"/>
      <c r="Z65" s="546"/>
      <c r="AA65" s="549"/>
      <c r="AB65" s="547"/>
      <c r="AC65" s="546"/>
      <c r="AD65" s="546"/>
      <c r="AE65" s="546"/>
      <c r="AF65" s="547">
        <f t="shared" si="13"/>
        <v>0</v>
      </c>
      <c r="AG65" s="546"/>
      <c r="AH65" s="549"/>
      <c r="AI65" s="549"/>
      <c r="AJ65" s="546"/>
      <c r="AK65" s="549"/>
      <c r="AL65" s="546"/>
      <c r="AM65" s="547">
        <f t="shared" si="14"/>
        <v>0</v>
      </c>
    </row>
    <row r="66" spans="1:39" s="4" customFormat="1" ht="35.25" customHeight="1">
      <c r="A66" s="429">
        <v>42</v>
      </c>
      <c r="B66" s="423" t="s">
        <v>396</v>
      </c>
      <c r="C66" s="423" t="s">
        <v>821</v>
      </c>
      <c r="D66" s="423">
        <v>1960</v>
      </c>
      <c r="E66" s="430" t="s">
        <v>368</v>
      </c>
      <c r="F66" s="433" t="s">
        <v>700</v>
      </c>
      <c r="G66" s="63">
        <v>1</v>
      </c>
      <c r="H66" s="164">
        <v>3</v>
      </c>
      <c r="I66" s="419">
        <v>4.7</v>
      </c>
      <c r="J66" s="63">
        <f>+I66*83200</f>
        <v>391040</v>
      </c>
      <c r="K66" s="63">
        <v>8000</v>
      </c>
      <c r="L66" s="63"/>
      <c r="M66" s="164">
        <f t="shared" si="17"/>
        <v>399040</v>
      </c>
      <c r="N66" s="63">
        <v>1</v>
      </c>
      <c r="O66" s="414">
        <v>2</v>
      </c>
      <c r="P66" s="419">
        <v>4.7</v>
      </c>
      <c r="Q66" s="157">
        <f>+P66*83200</f>
        <v>391040</v>
      </c>
      <c r="R66" s="157">
        <v>8000</v>
      </c>
      <c r="S66" s="63"/>
      <c r="T66" s="164">
        <f t="shared" si="12"/>
        <v>399040</v>
      </c>
      <c r="U66" s="63">
        <v>1</v>
      </c>
      <c r="V66" s="164">
        <f t="shared" si="23"/>
        <v>0</v>
      </c>
      <c r="W66" s="164">
        <f t="shared" si="23"/>
        <v>0</v>
      </c>
      <c r="X66" s="164">
        <f t="shared" si="23"/>
        <v>0</v>
      </c>
      <c r="Y66" s="164">
        <f t="shared" si="19"/>
        <v>0</v>
      </c>
      <c r="Z66" s="63">
        <v>1</v>
      </c>
      <c r="AA66" s="337">
        <v>4</v>
      </c>
      <c r="AB66" s="419">
        <v>4.85</v>
      </c>
      <c r="AC66" s="157">
        <f>+AB66*83200</f>
        <v>403519.99999999994</v>
      </c>
      <c r="AD66" s="157">
        <v>8000</v>
      </c>
      <c r="AE66" s="63"/>
      <c r="AF66" s="164">
        <f t="shared" si="13"/>
        <v>411519.99999999994</v>
      </c>
      <c r="AG66" s="63">
        <v>1</v>
      </c>
      <c r="AH66" s="157">
        <f t="shared" si="27"/>
        <v>5</v>
      </c>
      <c r="AI66" s="157">
        <v>4.85</v>
      </c>
      <c r="AJ66" s="426">
        <f>+AI66*83200</f>
        <v>403519.99999999994</v>
      </c>
      <c r="AK66" s="157">
        <v>8000</v>
      </c>
      <c r="AL66" s="63"/>
      <c r="AM66" s="164">
        <f t="shared" si="14"/>
        <v>411519.99999999994</v>
      </c>
    </row>
    <row r="67" spans="1:39" s="4" customFormat="1" ht="25.5">
      <c r="A67" s="429">
        <v>47</v>
      </c>
      <c r="B67" s="423" t="s">
        <v>397</v>
      </c>
      <c r="C67" s="423" t="s">
        <v>821</v>
      </c>
      <c r="D67" s="423">
        <v>1973</v>
      </c>
      <c r="E67" s="430" t="s">
        <v>375</v>
      </c>
      <c r="F67" s="433" t="s">
        <v>701</v>
      </c>
      <c r="G67" s="63">
        <v>1</v>
      </c>
      <c r="H67" s="164">
        <v>24</v>
      </c>
      <c r="I67" s="419">
        <v>4.4</v>
      </c>
      <c r="J67" s="63">
        <f aca="true" t="shared" si="29" ref="J67:J110">+I67*83200</f>
        <v>366080.00000000006</v>
      </c>
      <c r="K67" s="63">
        <v>8000</v>
      </c>
      <c r="L67" s="432">
        <v>0</v>
      </c>
      <c r="M67" s="164">
        <f t="shared" si="17"/>
        <v>374080.00000000006</v>
      </c>
      <c r="N67" s="63">
        <v>1</v>
      </c>
      <c r="O67" s="414">
        <v>23</v>
      </c>
      <c r="P67" s="419">
        <v>4.4</v>
      </c>
      <c r="Q67" s="157">
        <f aca="true" t="shared" si="30" ref="Q67:Q110">+P67*83200</f>
        <v>366080.00000000006</v>
      </c>
      <c r="R67" s="157">
        <v>8000</v>
      </c>
      <c r="S67" s="432">
        <v>0</v>
      </c>
      <c r="T67" s="164">
        <f t="shared" si="12"/>
        <v>374080.00000000006</v>
      </c>
      <c r="U67" s="63">
        <v>1</v>
      </c>
      <c r="V67" s="164">
        <f t="shared" si="23"/>
        <v>0</v>
      </c>
      <c r="W67" s="164">
        <f t="shared" si="23"/>
        <v>0</v>
      </c>
      <c r="X67" s="164">
        <f t="shared" si="23"/>
        <v>0</v>
      </c>
      <c r="Y67" s="164">
        <f t="shared" si="19"/>
        <v>0</v>
      </c>
      <c r="Z67" s="63">
        <v>1</v>
      </c>
      <c r="AA67" s="337">
        <v>25</v>
      </c>
      <c r="AB67" s="419">
        <v>4.4</v>
      </c>
      <c r="AC67" s="157">
        <f aca="true" t="shared" si="31" ref="AC67:AC110">+AB67*83200</f>
        <v>366080.00000000006</v>
      </c>
      <c r="AD67" s="157">
        <v>8000</v>
      </c>
      <c r="AE67" s="432">
        <v>0</v>
      </c>
      <c r="AF67" s="164">
        <f t="shared" si="13"/>
        <v>374080.00000000006</v>
      </c>
      <c r="AG67" s="63">
        <v>1</v>
      </c>
      <c r="AH67" s="157">
        <f>+AA67+1</f>
        <v>26</v>
      </c>
      <c r="AI67" s="157">
        <v>4.4</v>
      </c>
      <c r="AJ67" s="426">
        <f aca="true" t="shared" si="32" ref="AJ67:AJ110">+AI67*83200</f>
        <v>366080.00000000006</v>
      </c>
      <c r="AK67" s="157">
        <v>8000</v>
      </c>
      <c r="AL67" s="432">
        <v>0</v>
      </c>
      <c r="AM67" s="164">
        <f t="shared" si="14"/>
        <v>374080.00000000006</v>
      </c>
    </row>
    <row r="68" spans="1:39" s="4" customFormat="1" ht="25.5">
      <c r="A68" s="429">
        <v>48</v>
      </c>
      <c r="B68" s="423" t="s">
        <v>398</v>
      </c>
      <c r="C68" s="423" t="s">
        <v>823</v>
      </c>
      <c r="D68" s="423">
        <v>1962</v>
      </c>
      <c r="E68" s="423" t="s">
        <v>392</v>
      </c>
      <c r="F68" s="433" t="s">
        <v>702</v>
      </c>
      <c r="G68" s="63">
        <v>1</v>
      </c>
      <c r="H68" s="164">
        <v>11</v>
      </c>
      <c r="I68" s="419">
        <v>2.83</v>
      </c>
      <c r="J68" s="63">
        <f t="shared" si="29"/>
        <v>235456</v>
      </c>
      <c r="K68" s="63">
        <v>8000</v>
      </c>
      <c r="L68" s="432">
        <v>0</v>
      </c>
      <c r="M68" s="164">
        <f t="shared" si="17"/>
        <v>243456</v>
      </c>
      <c r="N68" s="63">
        <v>1</v>
      </c>
      <c r="O68" s="414">
        <v>10</v>
      </c>
      <c r="P68" s="419">
        <v>2.83</v>
      </c>
      <c r="Q68" s="157">
        <f t="shared" si="30"/>
        <v>235456</v>
      </c>
      <c r="R68" s="157">
        <v>8000</v>
      </c>
      <c r="S68" s="432">
        <v>0</v>
      </c>
      <c r="T68" s="164">
        <f t="shared" si="12"/>
        <v>243456</v>
      </c>
      <c r="U68" s="63">
        <v>1</v>
      </c>
      <c r="V68" s="164">
        <f t="shared" si="23"/>
        <v>0</v>
      </c>
      <c r="W68" s="164">
        <f t="shared" si="23"/>
        <v>0</v>
      </c>
      <c r="X68" s="164">
        <f t="shared" si="23"/>
        <v>0</v>
      </c>
      <c r="Y68" s="164">
        <f t="shared" si="19"/>
        <v>0</v>
      </c>
      <c r="Z68" s="63">
        <v>1</v>
      </c>
      <c r="AA68" s="337">
        <v>12</v>
      </c>
      <c r="AB68" s="419">
        <v>2.83</v>
      </c>
      <c r="AC68" s="157">
        <f t="shared" si="31"/>
        <v>235456</v>
      </c>
      <c r="AD68" s="157">
        <v>8000</v>
      </c>
      <c r="AE68" s="432">
        <v>0</v>
      </c>
      <c r="AF68" s="164">
        <f t="shared" si="13"/>
        <v>243456</v>
      </c>
      <c r="AG68" s="63">
        <v>1</v>
      </c>
      <c r="AH68" s="157">
        <f>+AA68+1</f>
        <v>13</v>
      </c>
      <c r="AI68" s="157">
        <v>2.92</v>
      </c>
      <c r="AJ68" s="426">
        <f t="shared" si="32"/>
        <v>242944</v>
      </c>
      <c r="AK68" s="157">
        <v>8000</v>
      </c>
      <c r="AL68" s="432">
        <v>0</v>
      </c>
      <c r="AM68" s="164">
        <f t="shared" si="14"/>
        <v>250944</v>
      </c>
    </row>
    <row r="69" spans="1:39" s="4" customFormat="1" ht="13.5">
      <c r="A69" s="429">
        <v>49</v>
      </c>
      <c r="B69" s="423" t="s">
        <v>399</v>
      </c>
      <c r="C69" s="423" t="s">
        <v>821</v>
      </c>
      <c r="D69" s="423">
        <v>1962</v>
      </c>
      <c r="E69" s="430" t="s">
        <v>375</v>
      </c>
      <c r="F69" s="433" t="s">
        <v>703</v>
      </c>
      <c r="G69" s="63">
        <v>1</v>
      </c>
      <c r="H69" s="164">
        <v>2</v>
      </c>
      <c r="I69" s="419">
        <v>4.4</v>
      </c>
      <c r="J69" s="63">
        <f t="shared" si="29"/>
        <v>366080.00000000006</v>
      </c>
      <c r="K69" s="63">
        <v>8000</v>
      </c>
      <c r="L69" s="432">
        <v>0</v>
      </c>
      <c r="M69" s="164">
        <f t="shared" si="17"/>
        <v>374080.00000000006</v>
      </c>
      <c r="N69" s="63">
        <v>1</v>
      </c>
      <c r="O69" s="414">
        <v>1</v>
      </c>
      <c r="P69" s="419">
        <v>4.4</v>
      </c>
      <c r="Q69" s="157">
        <f t="shared" si="30"/>
        <v>366080.00000000006</v>
      </c>
      <c r="R69" s="157">
        <v>8000</v>
      </c>
      <c r="S69" s="432">
        <v>0</v>
      </c>
      <c r="T69" s="164">
        <f t="shared" si="12"/>
        <v>374080.00000000006</v>
      </c>
      <c r="U69" s="63">
        <v>1</v>
      </c>
      <c r="V69" s="164">
        <f t="shared" si="23"/>
        <v>0</v>
      </c>
      <c r="W69" s="164">
        <f t="shared" si="23"/>
        <v>0</v>
      </c>
      <c r="X69" s="164">
        <f t="shared" si="23"/>
        <v>0</v>
      </c>
      <c r="Y69" s="164">
        <f t="shared" si="19"/>
        <v>0</v>
      </c>
      <c r="Z69" s="63">
        <v>1</v>
      </c>
      <c r="AA69" s="337">
        <v>3</v>
      </c>
      <c r="AB69" s="419">
        <v>4.4</v>
      </c>
      <c r="AC69" s="157">
        <f t="shared" si="31"/>
        <v>366080.00000000006</v>
      </c>
      <c r="AD69" s="157">
        <v>8000</v>
      </c>
      <c r="AE69" s="432">
        <v>0</v>
      </c>
      <c r="AF69" s="164">
        <f t="shared" si="13"/>
        <v>374080.00000000006</v>
      </c>
      <c r="AG69" s="63">
        <v>1</v>
      </c>
      <c r="AH69" s="157">
        <f>+AA69+1</f>
        <v>4</v>
      </c>
      <c r="AI69" s="419">
        <v>4.4</v>
      </c>
      <c r="AJ69" s="426">
        <f t="shared" si="32"/>
        <v>366080.00000000006</v>
      </c>
      <c r="AK69" s="157">
        <v>8000</v>
      </c>
      <c r="AL69" s="432">
        <v>0</v>
      </c>
      <c r="AM69" s="164">
        <f t="shared" si="14"/>
        <v>374080.00000000006</v>
      </c>
    </row>
    <row r="70" spans="1:39" s="4" customFormat="1" ht="13.5">
      <c r="A70" s="429">
        <v>52</v>
      </c>
      <c r="B70" s="423" t="s">
        <v>400</v>
      </c>
      <c r="C70" s="423" t="s">
        <v>821</v>
      </c>
      <c r="D70" s="423">
        <v>1984</v>
      </c>
      <c r="E70" s="430" t="s">
        <v>375</v>
      </c>
      <c r="F70" s="433" t="s">
        <v>704</v>
      </c>
      <c r="G70" s="63">
        <v>1</v>
      </c>
      <c r="H70" s="164">
        <v>10</v>
      </c>
      <c r="I70" s="419">
        <v>4.01</v>
      </c>
      <c r="J70" s="63">
        <f t="shared" si="29"/>
        <v>333632</v>
      </c>
      <c r="K70" s="63">
        <v>8000</v>
      </c>
      <c r="L70" s="432">
        <v>0</v>
      </c>
      <c r="M70" s="164">
        <f t="shared" si="17"/>
        <v>341632</v>
      </c>
      <c r="N70" s="63">
        <v>1</v>
      </c>
      <c r="O70" s="414">
        <v>9</v>
      </c>
      <c r="P70" s="419">
        <v>3.88</v>
      </c>
      <c r="Q70" s="157">
        <f t="shared" si="30"/>
        <v>322816</v>
      </c>
      <c r="R70" s="157">
        <v>8000</v>
      </c>
      <c r="S70" s="432">
        <v>0</v>
      </c>
      <c r="T70" s="164">
        <f t="shared" si="12"/>
        <v>330816</v>
      </c>
      <c r="U70" s="63">
        <v>1</v>
      </c>
      <c r="V70" s="164">
        <f t="shared" si="23"/>
        <v>10816</v>
      </c>
      <c r="W70" s="164">
        <f t="shared" si="23"/>
        <v>0</v>
      </c>
      <c r="X70" s="164">
        <f t="shared" si="23"/>
        <v>0</v>
      </c>
      <c r="Y70" s="164">
        <f t="shared" si="19"/>
        <v>10816</v>
      </c>
      <c r="Z70" s="63">
        <v>1</v>
      </c>
      <c r="AA70" s="337">
        <v>11</v>
      </c>
      <c r="AB70" s="419">
        <v>4.01</v>
      </c>
      <c r="AC70" s="157">
        <f t="shared" si="31"/>
        <v>333632</v>
      </c>
      <c r="AD70" s="157">
        <v>8000</v>
      </c>
      <c r="AE70" s="432">
        <v>0</v>
      </c>
      <c r="AF70" s="164">
        <f t="shared" si="13"/>
        <v>341632</v>
      </c>
      <c r="AG70" s="63">
        <v>1</v>
      </c>
      <c r="AH70" s="157">
        <f>+AA70+1</f>
        <v>12</v>
      </c>
      <c r="AI70" s="157">
        <v>4.01</v>
      </c>
      <c r="AJ70" s="426">
        <f t="shared" si="32"/>
        <v>333632</v>
      </c>
      <c r="AK70" s="157">
        <v>8000</v>
      </c>
      <c r="AL70" s="432">
        <v>0</v>
      </c>
      <c r="AM70" s="164">
        <f t="shared" si="14"/>
        <v>341632</v>
      </c>
    </row>
    <row r="71" spans="1:39" s="4" customFormat="1" ht="25.5">
      <c r="A71" s="429">
        <v>53</v>
      </c>
      <c r="B71" s="423" t="s">
        <v>401</v>
      </c>
      <c r="C71" s="423" t="s">
        <v>821</v>
      </c>
      <c r="D71" s="423">
        <v>1984</v>
      </c>
      <c r="E71" s="430" t="s">
        <v>375</v>
      </c>
      <c r="F71" s="433" t="s">
        <v>705</v>
      </c>
      <c r="G71" s="63">
        <v>1</v>
      </c>
      <c r="H71" s="164">
        <v>7</v>
      </c>
      <c r="I71" s="419">
        <v>3.76</v>
      </c>
      <c r="J71" s="63">
        <f t="shared" si="29"/>
        <v>312832</v>
      </c>
      <c r="K71" s="63">
        <v>8000</v>
      </c>
      <c r="L71" s="432"/>
      <c r="M71" s="164">
        <f t="shared" si="17"/>
        <v>320832</v>
      </c>
      <c r="N71" s="63">
        <v>1</v>
      </c>
      <c r="O71" s="414">
        <v>6</v>
      </c>
      <c r="P71" s="419">
        <v>3.76</v>
      </c>
      <c r="Q71" s="157">
        <f t="shared" si="30"/>
        <v>312832</v>
      </c>
      <c r="R71" s="157">
        <v>8000</v>
      </c>
      <c r="S71" s="432"/>
      <c r="T71" s="164">
        <f t="shared" si="12"/>
        <v>320832</v>
      </c>
      <c r="U71" s="63">
        <v>1</v>
      </c>
      <c r="V71" s="164">
        <f t="shared" si="23"/>
        <v>0</v>
      </c>
      <c r="W71" s="164">
        <f t="shared" si="23"/>
        <v>0</v>
      </c>
      <c r="X71" s="164">
        <f t="shared" si="23"/>
        <v>0</v>
      </c>
      <c r="Y71" s="164">
        <f t="shared" si="19"/>
        <v>0</v>
      </c>
      <c r="Z71" s="63">
        <v>1</v>
      </c>
      <c r="AA71" s="337">
        <v>8</v>
      </c>
      <c r="AB71" s="419">
        <v>3.88</v>
      </c>
      <c r="AC71" s="157">
        <f t="shared" si="31"/>
        <v>322816</v>
      </c>
      <c r="AD71" s="157">
        <v>8000</v>
      </c>
      <c r="AE71" s="432"/>
      <c r="AF71" s="164">
        <f t="shared" si="13"/>
        <v>330816</v>
      </c>
      <c r="AG71" s="63">
        <v>1</v>
      </c>
      <c r="AH71" s="157">
        <f>+AA71+1</f>
        <v>9</v>
      </c>
      <c r="AI71" s="157">
        <v>3.88</v>
      </c>
      <c r="AJ71" s="426">
        <f t="shared" si="32"/>
        <v>322816</v>
      </c>
      <c r="AK71" s="157">
        <v>8000</v>
      </c>
      <c r="AL71" s="432"/>
      <c r="AM71" s="164">
        <f t="shared" si="14"/>
        <v>330816</v>
      </c>
    </row>
    <row r="72" spans="1:39" s="551" customFormat="1" ht="25.5">
      <c r="A72" s="542"/>
      <c r="B72" s="555" t="s">
        <v>584</v>
      </c>
      <c r="C72" s="555"/>
      <c r="D72" s="555"/>
      <c r="E72" s="544"/>
      <c r="F72" s="545"/>
      <c r="G72" s="546"/>
      <c r="H72" s="547"/>
      <c r="I72" s="548"/>
      <c r="J72" s="546">
        <f t="shared" si="29"/>
        <v>0</v>
      </c>
      <c r="K72" s="546"/>
      <c r="L72" s="546"/>
      <c r="M72" s="547">
        <f t="shared" si="17"/>
        <v>0</v>
      </c>
      <c r="N72" s="546"/>
      <c r="O72" s="547"/>
      <c r="P72" s="548"/>
      <c r="Q72" s="549">
        <f t="shared" si="30"/>
        <v>0</v>
      </c>
      <c r="R72" s="546"/>
      <c r="S72" s="546"/>
      <c r="T72" s="547">
        <f aca="true" t="shared" si="33" ref="T72:T119">Q72+R72+S72</f>
        <v>0</v>
      </c>
      <c r="U72" s="546"/>
      <c r="V72" s="547"/>
      <c r="W72" s="547"/>
      <c r="X72" s="547"/>
      <c r="Y72" s="547"/>
      <c r="Z72" s="546"/>
      <c r="AA72" s="549"/>
      <c r="AB72" s="547"/>
      <c r="AC72" s="549">
        <f t="shared" si="31"/>
        <v>0</v>
      </c>
      <c r="AD72" s="546"/>
      <c r="AE72" s="546"/>
      <c r="AF72" s="547">
        <f aca="true" t="shared" si="34" ref="AF72:AF119">AC72+AD72+AE72</f>
        <v>0</v>
      </c>
      <c r="AG72" s="546"/>
      <c r="AH72" s="549"/>
      <c r="AI72" s="549"/>
      <c r="AJ72" s="550">
        <f t="shared" si="32"/>
        <v>0</v>
      </c>
      <c r="AK72" s="549"/>
      <c r="AL72" s="546"/>
      <c r="AM72" s="547">
        <f aca="true" t="shared" si="35" ref="AM72:AM119">AJ72+AK72+AL72</f>
        <v>0</v>
      </c>
    </row>
    <row r="73" spans="1:39" s="443" customFormat="1" ht="13.5">
      <c r="A73" s="434">
        <v>55</v>
      </c>
      <c r="B73" s="423" t="s">
        <v>402</v>
      </c>
      <c r="C73" s="423" t="s">
        <v>823</v>
      </c>
      <c r="D73" s="423">
        <v>1973</v>
      </c>
      <c r="E73" s="435" t="s">
        <v>403</v>
      </c>
      <c r="F73" s="465" t="s">
        <v>706</v>
      </c>
      <c r="G73" s="437">
        <v>1</v>
      </c>
      <c r="H73" s="438">
        <v>5</v>
      </c>
      <c r="I73" s="439">
        <v>4.7</v>
      </c>
      <c r="J73" s="63">
        <f t="shared" si="29"/>
        <v>391040</v>
      </c>
      <c r="K73" s="437">
        <v>8000</v>
      </c>
      <c r="L73" s="437"/>
      <c r="M73" s="164">
        <f t="shared" si="17"/>
        <v>399040</v>
      </c>
      <c r="N73" s="437">
        <v>1</v>
      </c>
      <c r="O73" s="438">
        <v>4</v>
      </c>
      <c r="P73" s="439">
        <v>4.7</v>
      </c>
      <c r="Q73" s="157">
        <f t="shared" si="30"/>
        <v>391040</v>
      </c>
      <c r="R73" s="441">
        <v>8000</v>
      </c>
      <c r="S73" s="437"/>
      <c r="T73" s="164">
        <f t="shared" si="33"/>
        <v>399040</v>
      </c>
      <c r="U73" s="437">
        <v>1</v>
      </c>
      <c r="V73" s="438">
        <f t="shared" si="23"/>
        <v>0</v>
      </c>
      <c r="W73" s="438">
        <f t="shared" si="23"/>
        <v>0</v>
      </c>
      <c r="X73" s="438">
        <f t="shared" si="23"/>
        <v>0</v>
      </c>
      <c r="Y73" s="438">
        <f t="shared" si="19"/>
        <v>0</v>
      </c>
      <c r="Z73" s="437">
        <v>1</v>
      </c>
      <c r="AA73" s="441">
        <v>6</v>
      </c>
      <c r="AB73" s="439">
        <v>4.7</v>
      </c>
      <c r="AC73" s="157">
        <f t="shared" si="31"/>
        <v>391040</v>
      </c>
      <c r="AD73" s="441">
        <v>8000</v>
      </c>
      <c r="AE73" s="437"/>
      <c r="AF73" s="164">
        <f t="shared" si="34"/>
        <v>399040</v>
      </c>
      <c r="AG73" s="437">
        <v>1</v>
      </c>
      <c r="AH73" s="441">
        <v>6</v>
      </c>
      <c r="AI73" s="441">
        <v>4.85</v>
      </c>
      <c r="AJ73" s="426">
        <f t="shared" si="32"/>
        <v>403519.99999999994</v>
      </c>
      <c r="AK73" s="441">
        <v>8000</v>
      </c>
      <c r="AL73" s="437"/>
      <c r="AM73" s="164">
        <f t="shared" si="35"/>
        <v>411519.99999999994</v>
      </c>
    </row>
    <row r="74" spans="1:39" s="4" customFormat="1" ht="25.5">
      <c r="A74" s="429">
        <v>56</v>
      </c>
      <c r="B74" s="423" t="s">
        <v>404</v>
      </c>
      <c r="C74" s="423" t="s">
        <v>821</v>
      </c>
      <c r="D74" s="423">
        <v>1975</v>
      </c>
      <c r="E74" s="423" t="s">
        <v>585</v>
      </c>
      <c r="F74" s="465" t="s">
        <v>707</v>
      </c>
      <c r="G74" s="63">
        <v>1</v>
      </c>
      <c r="H74" s="164">
        <v>22</v>
      </c>
      <c r="I74" s="419">
        <v>4.4</v>
      </c>
      <c r="J74" s="63">
        <f t="shared" si="29"/>
        <v>366080.00000000006</v>
      </c>
      <c r="K74" s="63">
        <v>8000</v>
      </c>
      <c r="L74" s="432">
        <v>0</v>
      </c>
      <c r="M74" s="164">
        <f t="shared" si="17"/>
        <v>374080.00000000006</v>
      </c>
      <c r="N74" s="63">
        <v>1</v>
      </c>
      <c r="O74" s="414">
        <v>21</v>
      </c>
      <c r="P74" s="419">
        <v>4.4</v>
      </c>
      <c r="Q74" s="157">
        <f t="shared" si="30"/>
        <v>366080.00000000006</v>
      </c>
      <c r="R74" s="157">
        <v>8000</v>
      </c>
      <c r="S74" s="432">
        <v>0</v>
      </c>
      <c r="T74" s="164">
        <f t="shared" si="33"/>
        <v>374080.00000000006</v>
      </c>
      <c r="U74" s="63">
        <v>1</v>
      </c>
      <c r="V74" s="164">
        <f t="shared" si="23"/>
        <v>0</v>
      </c>
      <c r="W74" s="164">
        <f t="shared" si="23"/>
        <v>0</v>
      </c>
      <c r="X74" s="164">
        <f t="shared" si="23"/>
        <v>0</v>
      </c>
      <c r="Y74" s="164">
        <f t="shared" si="19"/>
        <v>0</v>
      </c>
      <c r="Z74" s="63">
        <v>1</v>
      </c>
      <c r="AA74" s="337">
        <v>23</v>
      </c>
      <c r="AB74" s="419">
        <v>4.4</v>
      </c>
      <c r="AC74" s="157">
        <f t="shared" si="31"/>
        <v>366080.00000000006</v>
      </c>
      <c r="AD74" s="157">
        <v>8000</v>
      </c>
      <c r="AE74" s="432">
        <v>0</v>
      </c>
      <c r="AF74" s="164">
        <f t="shared" si="34"/>
        <v>374080.00000000006</v>
      </c>
      <c r="AG74" s="63">
        <v>1</v>
      </c>
      <c r="AH74" s="157">
        <f>+AA74+1</f>
        <v>24</v>
      </c>
      <c r="AI74" s="157">
        <v>4.4</v>
      </c>
      <c r="AJ74" s="426">
        <f t="shared" si="32"/>
        <v>366080.00000000006</v>
      </c>
      <c r="AK74" s="157">
        <v>8000</v>
      </c>
      <c r="AL74" s="432">
        <v>0</v>
      </c>
      <c r="AM74" s="164">
        <f t="shared" si="35"/>
        <v>374080.00000000006</v>
      </c>
    </row>
    <row r="75" spans="1:39" s="443" customFormat="1" ht="13.5">
      <c r="A75" s="434">
        <v>57</v>
      </c>
      <c r="B75" s="423" t="s">
        <v>405</v>
      </c>
      <c r="C75" s="423" t="s">
        <v>821</v>
      </c>
      <c r="D75" s="423">
        <v>1962</v>
      </c>
      <c r="E75" s="435" t="s">
        <v>600</v>
      </c>
      <c r="F75" s="465" t="s">
        <v>708</v>
      </c>
      <c r="G75" s="437">
        <v>1</v>
      </c>
      <c r="H75" s="438">
        <v>5</v>
      </c>
      <c r="I75" s="439">
        <v>4.01</v>
      </c>
      <c r="J75" s="63">
        <f t="shared" si="29"/>
        <v>333632</v>
      </c>
      <c r="K75" s="437">
        <v>8000</v>
      </c>
      <c r="L75" s="440"/>
      <c r="M75" s="164">
        <f t="shared" si="17"/>
        <v>341632</v>
      </c>
      <c r="N75" s="437">
        <v>1</v>
      </c>
      <c r="O75" s="438">
        <v>4</v>
      </c>
      <c r="P75" s="439">
        <v>4.01</v>
      </c>
      <c r="Q75" s="157">
        <f t="shared" si="30"/>
        <v>333632</v>
      </c>
      <c r="R75" s="441">
        <v>8000</v>
      </c>
      <c r="S75" s="440"/>
      <c r="T75" s="164">
        <f t="shared" si="33"/>
        <v>341632</v>
      </c>
      <c r="U75" s="437">
        <v>1</v>
      </c>
      <c r="V75" s="438">
        <f t="shared" si="23"/>
        <v>0</v>
      </c>
      <c r="W75" s="438">
        <f t="shared" si="23"/>
        <v>0</v>
      </c>
      <c r="X75" s="438">
        <f t="shared" si="23"/>
        <v>0</v>
      </c>
      <c r="Y75" s="438">
        <f t="shared" si="19"/>
        <v>0</v>
      </c>
      <c r="Z75" s="437">
        <v>1</v>
      </c>
      <c r="AA75" s="441">
        <v>6</v>
      </c>
      <c r="AB75" s="439">
        <v>4.01</v>
      </c>
      <c r="AC75" s="157">
        <f t="shared" si="31"/>
        <v>333632</v>
      </c>
      <c r="AD75" s="441">
        <v>8000</v>
      </c>
      <c r="AE75" s="440"/>
      <c r="AF75" s="164">
        <f t="shared" si="34"/>
        <v>341632</v>
      </c>
      <c r="AG75" s="437">
        <v>1</v>
      </c>
      <c r="AH75" s="441">
        <v>7</v>
      </c>
      <c r="AI75" s="441">
        <v>4.01</v>
      </c>
      <c r="AJ75" s="426">
        <f t="shared" si="32"/>
        <v>333632</v>
      </c>
      <c r="AK75" s="441">
        <v>8000</v>
      </c>
      <c r="AL75" s="440"/>
      <c r="AM75" s="164">
        <f t="shared" si="35"/>
        <v>341632</v>
      </c>
    </row>
    <row r="76" spans="1:39" s="4" customFormat="1" ht="25.5">
      <c r="A76" s="429">
        <v>59</v>
      </c>
      <c r="B76" s="423" t="s">
        <v>406</v>
      </c>
      <c r="C76" s="423" t="s">
        <v>823</v>
      </c>
      <c r="D76" s="423">
        <v>1960</v>
      </c>
      <c r="E76" s="423" t="s">
        <v>376</v>
      </c>
      <c r="F76" s="466" t="s">
        <v>709</v>
      </c>
      <c r="G76" s="63">
        <v>1</v>
      </c>
      <c r="H76" s="164">
        <v>27</v>
      </c>
      <c r="I76" s="419">
        <v>2.28</v>
      </c>
      <c r="J76" s="63">
        <f t="shared" si="29"/>
        <v>189695.99999999997</v>
      </c>
      <c r="K76" s="63">
        <v>8000</v>
      </c>
      <c r="L76" s="432">
        <f>+J76*5%</f>
        <v>9484.8</v>
      </c>
      <c r="M76" s="164">
        <f t="shared" si="17"/>
        <v>207180.79999999996</v>
      </c>
      <c r="N76" s="63">
        <v>1</v>
      </c>
      <c r="O76" s="414">
        <v>26</v>
      </c>
      <c r="P76" s="419">
        <v>2.28</v>
      </c>
      <c r="Q76" s="157">
        <f t="shared" si="30"/>
        <v>189695.99999999997</v>
      </c>
      <c r="R76" s="157">
        <v>8000</v>
      </c>
      <c r="S76" s="432">
        <f>+Q76*5%</f>
        <v>9484.8</v>
      </c>
      <c r="T76" s="164">
        <f t="shared" si="33"/>
        <v>207180.79999999996</v>
      </c>
      <c r="U76" s="63">
        <v>1</v>
      </c>
      <c r="V76" s="164">
        <f t="shared" si="23"/>
        <v>0</v>
      </c>
      <c r="W76" s="164">
        <f t="shared" si="23"/>
        <v>0</v>
      </c>
      <c r="X76" s="164">
        <f t="shared" si="23"/>
        <v>0</v>
      </c>
      <c r="Y76" s="164">
        <f aca="true" t="shared" si="36" ref="Y76:Y110">V76+W76+X76</f>
        <v>0</v>
      </c>
      <c r="Z76" s="63">
        <v>1</v>
      </c>
      <c r="AA76" s="337">
        <v>28</v>
      </c>
      <c r="AB76" s="419">
        <v>2.28</v>
      </c>
      <c r="AC76" s="157">
        <f t="shared" si="31"/>
        <v>189695.99999999997</v>
      </c>
      <c r="AD76" s="157">
        <v>8000</v>
      </c>
      <c r="AE76" s="432">
        <f>+AC76*5%</f>
        <v>9484.8</v>
      </c>
      <c r="AF76" s="164">
        <f t="shared" si="34"/>
        <v>207180.79999999996</v>
      </c>
      <c r="AG76" s="63">
        <v>1</v>
      </c>
      <c r="AH76" s="157">
        <f aca="true" t="shared" si="37" ref="AH76:AH82">+AA76+1</f>
        <v>29</v>
      </c>
      <c r="AI76" s="157">
        <v>2.28</v>
      </c>
      <c r="AJ76" s="426">
        <f t="shared" si="32"/>
        <v>189695.99999999997</v>
      </c>
      <c r="AK76" s="157">
        <v>8000</v>
      </c>
      <c r="AL76" s="432">
        <f>+AJ76*5%</f>
        <v>9484.8</v>
      </c>
      <c r="AM76" s="164">
        <f t="shared" si="35"/>
        <v>207180.79999999996</v>
      </c>
    </row>
    <row r="77" spans="1:39" s="4" customFormat="1" ht="38.25">
      <c r="A77" s="429">
        <v>61</v>
      </c>
      <c r="B77" s="423" t="s">
        <v>407</v>
      </c>
      <c r="C77" s="423" t="s">
        <v>821</v>
      </c>
      <c r="D77" s="423">
        <v>1993</v>
      </c>
      <c r="E77" s="423" t="s">
        <v>408</v>
      </c>
      <c r="F77" s="466" t="s">
        <v>710</v>
      </c>
      <c r="G77" s="63">
        <v>1</v>
      </c>
      <c r="H77" s="164">
        <v>4</v>
      </c>
      <c r="I77" s="419">
        <v>3.64</v>
      </c>
      <c r="J77" s="63">
        <f t="shared" si="29"/>
        <v>302848</v>
      </c>
      <c r="K77" s="63">
        <v>8000</v>
      </c>
      <c r="L77" s="432"/>
      <c r="M77" s="164">
        <f aca="true" t="shared" si="38" ref="M77:M122">J77+K77+L77</f>
        <v>310848</v>
      </c>
      <c r="N77" s="63">
        <v>1</v>
      </c>
      <c r="O77" s="414">
        <v>3</v>
      </c>
      <c r="P77" s="419">
        <v>3.53</v>
      </c>
      <c r="Q77" s="157">
        <f t="shared" si="30"/>
        <v>293696</v>
      </c>
      <c r="R77" s="157">
        <v>8000</v>
      </c>
      <c r="S77" s="432"/>
      <c r="T77" s="164">
        <f t="shared" si="33"/>
        <v>301696</v>
      </c>
      <c r="U77" s="63">
        <v>1</v>
      </c>
      <c r="V77" s="164">
        <f t="shared" si="23"/>
        <v>9152</v>
      </c>
      <c r="W77" s="164">
        <f t="shared" si="23"/>
        <v>0</v>
      </c>
      <c r="X77" s="164">
        <f t="shared" si="23"/>
        <v>0</v>
      </c>
      <c r="Y77" s="164">
        <f t="shared" si="36"/>
        <v>9152</v>
      </c>
      <c r="Z77" s="63">
        <v>1</v>
      </c>
      <c r="AA77" s="337">
        <v>5</v>
      </c>
      <c r="AB77" s="419">
        <v>3.64</v>
      </c>
      <c r="AC77" s="157">
        <f t="shared" si="31"/>
        <v>302848</v>
      </c>
      <c r="AD77" s="157">
        <v>8000</v>
      </c>
      <c r="AE77" s="432"/>
      <c r="AF77" s="164">
        <f t="shared" si="34"/>
        <v>310848</v>
      </c>
      <c r="AG77" s="63">
        <v>1</v>
      </c>
      <c r="AH77" s="157">
        <f t="shared" si="37"/>
        <v>6</v>
      </c>
      <c r="AI77" s="157">
        <v>3.76</v>
      </c>
      <c r="AJ77" s="426">
        <f t="shared" si="32"/>
        <v>312832</v>
      </c>
      <c r="AK77" s="157">
        <v>8000</v>
      </c>
      <c r="AL77" s="432"/>
      <c r="AM77" s="164">
        <f t="shared" si="35"/>
        <v>320832</v>
      </c>
    </row>
    <row r="78" spans="1:39" s="443" customFormat="1" ht="30.75" customHeight="1">
      <c r="A78" s="429">
        <v>62</v>
      </c>
      <c r="B78" s="423" t="s">
        <v>360</v>
      </c>
      <c r="C78" s="423"/>
      <c r="D78" s="423"/>
      <c r="E78" s="423" t="s">
        <v>408</v>
      </c>
      <c r="F78" s="465" t="s">
        <v>712</v>
      </c>
      <c r="G78" s="437">
        <v>1</v>
      </c>
      <c r="H78" s="438">
        <v>1</v>
      </c>
      <c r="I78" s="439">
        <v>3.76</v>
      </c>
      <c r="J78" s="63">
        <f t="shared" si="29"/>
        <v>312832</v>
      </c>
      <c r="K78" s="437">
        <v>8000</v>
      </c>
      <c r="L78" s="440"/>
      <c r="M78" s="164">
        <f t="shared" si="38"/>
        <v>320832</v>
      </c>
      <c r="N78" s="437">
        <v>1</v>
      </c>
      <c r="O78" s="438">
        <v>0</v>
      </c>
      <c r="P78" s="439">
        <v>3.76</v>
      </c>
      <c r="Q78" s="157">
        <f t="shared" si="30"/>
        <v>312832</v>
      </c>
      <c r="R78" s="441">
        <v>8000</v>
      </c>
      <c r="S78" s="440"/>
      <c r="T78" s="164">
        <f t="shared" si="33"/>
        <v>320832</v>
      </c>
      <c r="U78" s="437">
        <v>1</v>
      </c>
      <c r="V78" s="438">
        <f t="shared" si="23"/>
        <v>0</v>
      </c>
      <c r="W78" s="438">
        <f t="shared" si="23"/>
        <v>0</v>
      </c>
      <c r="X78" s="438">
        <f t="shared" si="23"/>
        <v>0</v>
      </c>
      <c r="Y78" s="438">
        <f t="shared" si="36"/>
        <v>0</v>
      </c>
      <c r="Z78" s="437">
        <v>1</v>
      </c>
      <c r="AA78" s="441">
        <v>2</v>
      </c>
      <c r="AB78" s="439">
        <v>3.76</v>
      </c>
      <c r="AC78" s="157">
        <f t="shared" si="31"/>
        <v>312832</v>
      </c>
      <c r="AD78" s="441">
        <v>8000</v>
      </c>
      <c r="AE78" s="440"/>
      <c r="AF78" s="164">
        <f t="shared" si="34"/>
        <v>320832</v>
      </c>
      <c r="AG78" s="437">
        <v>1</v>
      </c>
      <c r="AH78" s="157">
        <f t="shared" si="37"/>
        <v>3</v>
      </c>
      <c r="AI78" s="441">
        <v>3.76</v>
      </c>
      <c r="AJ78" s="426">
        <f t="shared" si="32"/>
        <v>312832</v>
      </c>
      <c r="AK78" s="441">
        <v>8000</v>
      </c>
      <c r="AL78" s="440"/>
      <c r="AM78" s="164">
        <f t="shared" si="35"/>
        <v>320832</v>
      </c>
    </row>
    <row r="79" spans="1:39" s="4" customFormat="1" ht="14.25" customHeight="1">
      <c r="A79" s="429">
        <v>100</v>
      </c>
      <c r="B79" s="423" t="s">
        <v>433</v>
      </c>
      <c r="C79" s="423" t="s">
        <v>821</v>
      </c>
      <c r="D79" s="423">
        <v>1971</v>
      </c>
      <c r="E79" s="430" t="s">
        <v>600</v>
      </c>
      <c r="F79" s="466" t="s">
        <v>711</v>
      </c>
      <c r="G79" s="63">
        <v>1</v>
      </c>
      <c r="H79" s="164">
        <v>18</v>
      </c>
      <c r="I79" s="419">
        <v>4.4</v>
      </c>
      <c r="J79" s="63">
        <f>+I79*83200</f>
        <v>366080.00000000006</v>
      </c>
      <c r="K79" s="63">
        <v>8000</v>
      </c>
      <c r="L79" s="432">
        <f>+J79*5%</f>
        <v>18304.000000000004</v>
      </c>
      <c r="M79" s="164">
        <f>J79+K79+L79</f>
        <v>392384.00000000006</v>
      </c>
      <c r="N79" s="63">
        <v>1</v>
      </c>
      <c r="O79" s="414">
        <v>17</v>
      </c>
      <c r="P79" s="419">
        <v>4.4</v>
      </c>
      <c r="Q79" s="157">
        <f>+P79*83200</f>
        <v>366080.00000000006</v>
      </c>
      <c r="R79" s="157">
        <v>8000</v>
      </c>
      <c r="S79" s="432">
        <f>+Q79*5%</f>
        <v>18304.000000000004</v>
      </c>
      <c r="T79" s="164">
        <f>Q79+R79+S79</f>
        <v>392384.00000000006</v>
      </c>
      <c r="U79" s="63">
        <v>1</v>
      </c>
      <c r="V79" s="164">
        <f aca="true" t="shared" si="39" ref="V79:X81">J79-Q79</f>
        <v>0</v>
      </c>
      <c r="W79" s="164">
        <f t="shared" si="39"/>
        <v>0</v>
      </c>
      <c r="X79" s="164">
        <f t="shared" si="39"/>
        <v>0</v>
      </c>
      <c r="Y79" s="164">
        <f>V79+W79+X79</f>
        <v>0</v>
      </c>
      <c r="Z79" s="63">
        <v>1</v>
      </c>
      <c r="AA79" s="337">
        <v>19</v>
      </c>
      <c r="AB79" s="419">
        <v>4.4</v>
      </c>
      <c r="AC79" s="157">
        <f>+AB79*83200</f>
        <v>366080.00000000006</v>
      </c>
      <c r="AD79" s="157">
        <v>8000</v>
      </c>
      <c r="AE79" s="432">
        <f>+AC79*5%</f>
        <v>18304.000000000004</v>
      </c>
      <c r="AF79" s="164">
        <f>AC79+AD79+AE79</f>
        <v>392384.00000000006</v>
      </c>
      <c r="AG79" s="63">
        <v>1</v>
      </c>
      <c r="AH79" s="157">
        <f t="shared" si="37"/>
        <v>20</v>
      </c>
      <c r="AI79" s="157">
        <v>4.4</v>
      </c>
      <c r="AJ79" s="426">
        <f>+AI79*83200</f>
        <v>366080.00000000006</v>
      </c>
      <c r="AK79" s="157">
        <v>8000</v>
      </c>
      <c r="AL79" s="432">
        <f>+AJ79*5%</f>
        <v>18304.000000000004</v>
      </c>
      <c r="AM79" s="164">
        <f>AJ79+AK79+AL79</f>
        <v>392384.00000000006</v>
      </c>
    </row>
    <row r="80" spans="1:39" s="4" customFormat="1" ht="13.5">
      <c r="A80" s="434">
        <v>103</v>
      </c>
      <c r="B80" s="423" t="s">
        <v>434</v>
      </c>
      <c r="C80" s="423" t="s">
        <v>823</v>
      </c>
      <c r="D80" s="423">
        <v>1962</v>
      </c>
      <c r="E80" s="430" t="s">
        <v>392</v>
      </c>
      <c r="F80" s="466" t="s">
        <v>713</v>
      </c>
      <c r="G80" s="63">
        <v>1</v>
      </c>
      <c r="H80" s="164">
        <v>9</v>
      </c>
      <c r="I80" s="419">
        <v>3.21</v>
      </c>
      <c r="J80" s="63">
        <f>+I80*83200</f>
        <v>267072</v>
      </c>
      <c r="K80" s="63">
        <v>8000</v>
      </c>
      <c r="L80" s="432">
        <f>+J80*5%</f>
        <v>13353.6</v>
      </c>
      <c r="M80" s="164">
        <f>J80+K80+L80</f>
        <v>288425.6</v>
      </c>
      <c r="N80" s="63">
        <v>1</v>
      </c>
      <c r="O80" s="414">
        <v>8</v>
      </c>
      <c r="P80" s="419">
        <v>3.21</v>
      </c>
      <c r="Q80" s="157">
        <f>+P80*83200</f>
        <v>267072</v>
      </c>
      <c r="R80" s="157">
        <v>8000</v>
      </c>
      <c r="S80" s="432">
        <f>+Q80*5%</f>
        <v>13353.6</v>
      </c>
      <c r="T80" s="164">
        <f>Q80+R80+S80</f>
        <v>288425.6</v>
      </c>
      <c r="U80" s="63">
        <v>1</v>
      </c>
      <c r="V80" s="164">
        <f t="shared" si="39"/>
        <v>0</v>
      </c>
      <c r="W80" s="164">
        <f t="shared" si="39"/>
        <v>0</v>
      </c>
      <c r="X80" s="164">
        <f t="shared" si="39"/>
        <v>0</v>
      </c>
      <c r="Y80" s="164">
        <f>V80+W80+X80</f>
        <v>0</v>
      </c>
      <c r="Z80" s="63">
        <v>1</v>
      </c>
      <c r="AA80" s="337">
        <v>10</v>
      </c>
      <c r="AB80" s="419">
        <v>3.31</v>
      </c>
      <c r="AC80" s="157">
        <f>+AB80*83200</f>
        <v>275392</v>
      </c>
      <c r="AD80" s="157">
        <v>8000</v>
      </c>
      <c r="AE80" s="432">
        <f>+AC80*5%</f>
        <v>13769.6</v>
      </c>
      <c r="AF80" s="164">
        <f>AC80+AD80+AE80</f>
        <v>297161.6</v>
      </c>
      <c r="AG80" s="63">
        <v>1</v>
      </c>
      <c r="AH80" s="157">
        <f t="shared" si="37"/>
        <v>11</v>
      </c>
      <c r="AI80" s="157">
        <v>3.31</v>
      </c>
      <c r="AJ80" s="426">
        <f>+AI80*83200</f>
        <v>275392</v>
      </c>
      <c r="AK80" s="157">
        <v>8000</v>
      </c>
      <c r="AL80" s="432">
        <f>+AJ80*5%</f>
        <v>13769.6</v>
      </c>
      <c r="AM80" s="164">
        <f>AJ80+AK80+AL80</f>
        <v>297161.6</v>
      </c>
    </row>
    <row r="81" spans="1:39" s="464" customFormat="1" ht="13.5">
      <c r="A81" s="434">
        <v>105</v>
      </c>
      <c r="B81" s="423" t="s">
        <v>435</v>
      </c>
      <c r="C81" s="423" t="s">
        <v>823</v>
      </c>
      <c r="D81" s="423">
        <v>1997</v>
      </c>
      <c r="E81" s="473" t="s">
        <v>376</v>
      </c>
      <c r="F81" s="474" t="s">
        <v>714</v>
      </c>
      <c r="G81" s="459">
        <v>1</v>
      </c>
      <c r="H81" s="460">
        <v>5</v>
      </c>
      <c r="I81" s="461">
        <v>1.63</v>
      </c>
      <c r="J81" s="63">
        <f>+I81*83200</f>
        <v>135616</v>
      </c>
      <c r="K81" s="459">
        <v>8000</v>
      </c>
      <c r="L81" s="462"/>
      <c r="M81" s="164">
        <f>J81+K81+L81</f>
        <v>143616</v>
      </c>
      <c r="N81" s="459">
        <v>1</v>
      </c>
      <c r="O81" s="460">
        <v>4</v>
      </c>
      <c r="P81" s="461">
        <v>1.63</v>
      </c>
      <c r="Q81" s="157">
        <f>+P81*83200</f>
        <v>135616</v>
      </c>
      <c r="R81" s="157">
        <v>8000</v>
      </c>
      <c r="S81" s="462"/>
      <c r="T81" s="164">
        <f>Q81+R81+S81</f>
        <v>143616</v>
      </c>
      <c r="U81" s="459">
        <v>1</v>
      </c>
      <c r="V81" s="460">
        <f t="shared" si="39"/>
        <v>0</v>
      </c>
      <c r="W81" s="460">
        <f t="shared" si="39"/>
        <v>0</v>
      </c>
      <c r="X81" s="460">
        <f t="shared" si="39"/>
        <v>0</v>
      </c>
      <c r="Y81" s="460">
        <f>V81+W81+X81</f>
        <v>0</v>
      </c>
      <c r="Z81" s="459">
        <v>1</v>
      </c>
      <c r="AA81" s="463">
        <v>6</v>
      </c>
      <c r="AB81" s="461">
        <v>1.68</v>
      </c>
      <c r="AC81" s="157">
        <f>+AB81*83200</f>
        <v>139776</v>
      </c>
      <c r="AD81" s="157">
        <v>8000</v>
      </c>
      <c r="AE81" s="462"/>
      <c r="AF81" s="164">
        <f>AC81+AD81+AE81</f>
        <v>147776</v>
      </c>
      <c r="AG81" s="459">
        <v>1</v>
      </c>
      <c r="AH81" s="157">
        <f t="shared" si="37"/>
        <v>7</v>
      </c>
      <c r="AI81" s="463">
        <v>1.68</v>
      </c>
      <c r="AJ81" s="426">
        <f>+AI81*83200</f>
        <v>139776</v>
      </c>
      <c r="AK81" s="463">
        <v>8000</v>
      </c>
      <c r="AL81" s="462"/>
      <c r="AM81" s="164">
        <f>AJ81+AK81+AL81</f>
        <v>147776</v>
      </c>
    </row>
    <row r="82" spans="1:39" s="443" customFormat="1" ht="25.5">
      <c r="A82" s="429">
        <v>63</v>
      </c>
      <c r="B82" s="423" t="s">
        <v>409</v>
      </c>
      <c r="C82" s="423" t="s">
        <v>821</v>
      </c>
      <c r="D82" s="423">
        <v>1983</v>
      </c>
      <c r="E82" s="467" t="s">
        <v>392</v>
      </c>
      <c r="F82" s="468" t="s">
        <v>715</v>
      </c>
      <c r="G82" s="437">
        <v>1</v>
      </c>
      <c r="H82" s="438">
        <v>6</v>
      </c>
      <c r="I82" s="439">
        <v>2.66</v>
      </c>
      <c r="J82" s="63">
        <f t="shared" si="29"/>
        <v>221312</v>
      </c>
      <c r="K82" s="437">
        <v>8000</v>
      </c>
      <c r="L82" s="440"/>
      <c r="M82" s="164">
        <f t="shared" si="38"/>
        <v>229312</v>
      </c>
      <c r="N82" s="437">
        <v>1</v>
      </c>
      <c r="O82" s="438">
        <v>5</v>
      </c>
      <c r="P82" s="439">
        <v>2.58</v>
      </c>
      <c r="Q82" s="157">
        <f t="shared" si="30"/>
        <v>214656</v>
      </c>
      <c r="R82" s="441">
        <v>8000</v>
      </c>
      <c r="S82" s="440"/>
      <c r="T82" s="164">
        <f t="shared" si="33"/>
        <v>222656</v>
      </c>
      <c r="U82" s="437">
        <v>1</v>
      </c>
      <c r="V82" s="438">
        <f t="shared" si="23"/>
        <v>6656</v>
      </c>
      <c r="W82" s="438">
        <f t="shared" si="23"/>
        <v>0</v>
      </c>
      <c r="X82" s="438">
        <f t="shared" si="23"/>
        <v>0</v>
      </c>
      <c r="Y82" s="438">
        <f t="shared" si="36"/>
        <v>6656</v>
      </c>
      <c r="Z82" s="437">
        <v>1</v>
      </c>
      <c r="AA82" s="441">
        <v>7</v>
      </c>
      <c r="AB82" s="439">
        <v>2.66</v>
      </c>
      <c r="AC82" s="157">
        <f t="shared" si="31"/>
        <v>221312</v>
      </c>
      <c r="AD82" s="441">
        <v>8000</v>
      </c>
      <c r="AE82" s="440"/>
      <c r="AF82" s="164">
        <f t="shared" si="34"/>
        <v>229312</v>
      </c>
      <c r="AG82" s="437">
        <v>1</v>
      </c>
      <c r="AH82" s="157">
        <f t="shared" si="37"/>
        <v>8</v>
      </c>
      <c r="AI82" s="441">
        <v>2.75</v>
      </c>
      <c r="AJ82" s="426">
        <f t="shared" si="32"/>
        <v>228800</v>
      </c>
      <c r="AK82" s="441">
        <v>8000</v>
      </c>
      <c r="AL82" s="440"/>
      <c r="AM82" s="164">
        <f t="shared" si="35"/>
        <v>236800</v>
      </c>
    </row>
    <row r="83" spans="1:39" s="551" customFormat="1" ht="38.25" customHeight="1">
      <c r="A83" s="542">
        <v>66</v>
      </c>
      <c r="B83" s="555" t="s">
        <v>586</v>
      </c>
      <c r="C83" s="555"/>
      <c r="D83" s="555"/>
      <c r="E83" s="544"/>
      <c r="F83" s="545"/>
      <c r="G83" s="546"/>
      <c r="H83" s="547"/>
      <c r="I83" s="548"/>
      <c r="J83" s="546">
        <f t="shared" si="29"/>
        <v>0</v>
      </c>
      <c r="K83" s="546"/>
      <c r="L83" s="546"/>
      <c r="M83" s="547">
        <f t="shared" si="38"/>
        <v>0</v>
      </c>
      <c r="N83" s="546"/>
      <c r="O83" s="547"/>
      <c r="P83" s="548"/>
      <c r="Q83" s="549">
        <f t="shared" si="30"/>
        <v>0</v>
      </c>
      <c r="R83" s="546"/>
      <c r="S83" s="546"/>
      <c r="T83" s="547">
        <f t="shared" si="33"/>
        <v>0</v>
      </c>
      <c r="U83" s="546"/>
      <c r="V83" s="547"/>
      <c r="W83" s="547"/>
      <c r="X83" s="547"/>
      <c r="Y83" s="547"/>
      <c r="Z83" s="546"/>
      <c r="AA83" s="549"/>
      <c r="AB83" s="548"/>
      <c r="AC83" s="549">
        <f t="shared" si="31"/>
        <v>0</v>
      </c>
      <c r="AD83" s="546"/>
      <c r="AE83" s="546"/>
      <c r="AF83" s="547">
        <f t="shared" si="34"/>
        <v>0</v>
      </c>
      <c r="AG83" s="546"/>
      <c r="AH83" s="549"/>
      <c r="AI83" s="549"/>
      <c r="AJ83" s="550">
        <f t="shared" si="32"/>
        <v>0</v>
      </c>
      <c r="AK83" s="549"/>
      <c r="AL83" s="546"/>
      <c r="AM83" s="547">
        <f t="shared" si="35"/>
        <v>0</v>
      </c>
    </row>
    <row r="84" spans="1:39" s="4" customFormat="1" ht="16.5" customHeight="1">
      <c r="A84" s="434">
        <v>65</v>
      </c>
      <c r="B84" s="423" t="s">
        <v>560</v>
      </c>
      <c r="C84" s="423" t="s">
        <v>821</v>
      </c>
      <c r="D84" s="423">
        <v>1975</v>
      </c>
      <c r="E84" s="430" t="s">
        <v>410</v>
      </c>
      <c r="F84" s="433" t="s">
        <v>679</v>
      </c>
      <c r="G84" s="63">
        <v>1</v>
      </c>
      <c r="H84" s="164">
        <v>1</v>
      </c>
      <c r="I84" s="419">
        <v>4.01</v>
      </c>
      <c r="J84" s="63">
        <f t="shared" si="29"/>
        <v>333632</v>
      </c>
      <c r="K84" s="63">
        <v>8000</v>
      </c>
      <c r="L84" s="63"/>
      <c r="M84" s="164">
        <f t="shared" si="38"/>
        <v>341632</v>
      </c>
      <c r="N84" s="63">
        <v>1</v>
      </c>
      <c r="O84" s="414">
        <v>0</v>
      </c>
      <c r="P84" s="419">
        <v>3.88</v>
      </c>
      <c r="Q84" s="157">
        <f t="shared" si="30"/>
        <v>322816</v>
      </c>
      <c r="R84" s="157">
        <v>8000</v>
      </c>
      <c r="S84" s="63"/>
      <c r="T84" s="164">
        <f t="shared" si="33"/>
        <v>330816</v>
      </c>
      <c r="U84" s="63">
        <v>1</v>
      </c>
      <c r="V84" s="164">
        <f t="shared" si="23"/>
        <v>10816</v>
      </c>
      <c r="W84" s="164">
        <f t="shared" si="23"/>
        <v>0</v>
      </c>
      <c r="X84" s="164">
        <f t="shared" si="23"/>
        <v>0</v>
      </c>
      <c r="Y84" s="164">
        <f t="shared" si="36"/>
        <v>10816</v>
      </c>
      <c r="Z84" s="63">
        <v>1</v>
      </c>
      <c r="AA84" s="337">
        <v>2</v>
      </c>
      <c r="AB84" s="419">
        <v>4.14</v>
      </c>
      <c r="AC84" s="157">
        <f t="shared" si="31"/>
        <v>344448</v>
      </c>
      <c r="AD84" s="157">
        <v>8000</v>
      </c>
      <c r="AE84" s="63"/>
      <c r="AF84" s="164">
        <f t="shared" si="34"/>
        <v>352448</v>
      </c>
      <c r="AG84" s="63">
        <v>1</v>
      </c>
      <c r="AH84" s="157">
        <f>+AA84+1</f>
        <v>3</v>
      </c>
      <c r="AI84" s="157">
        <v>4.27</v>
      </c>
      <c r="AJ84" s="426">
        <f t="shared" si="32"/>
        <v>355263.99999999994</v>
      </c>
      <c r="AK84" s="157">
        <v>8000</v>
      </c>
      <c r="AL84" s="63"/>
      <c r="AM84" s="164">
        <f t="shared" si="35"/>
        <v>363263.99999999994</v>
      </c>
    </row>
    <row r="85" spans="1:39" s="4" customFormat="1" ht="13.5">
      <c r="A85" s="434">
        <v>68</v>
      </c>
      <c r="B85" s="423" t="s">
        <v>360</v>
      </c>
      <c r="C85" s="423"/>
      <c r="D85" s="423"/>
      <c r="E85" s="430" t="s">
        <v>375</v>
      </c>
      <c r="F85" s="433" t="s">
        <v>681</v>
      </c>
      <c r="G85" s="63">
        <v>1</v>
      </c>
      <c r="H85" s="164">
        <v>7</v>
      </c>
      <c r="I85" s="419">
        <v>3.76</v>
      </c>
      <c r="J85" s="63">
        <f t="shared" si="29"/>
        <v>312832</v>
      </c>
      <c r="K85" s="63">
        <v>8000</v>
      </c>
      <c r="L85" s="432">
        <v>0</v>
      </c>
      <c r="M85" s="164">
        <f t="shared" si="38"/>
        <v>320832</v>
      </c>
      <c r="N85" s="63">
        <v>1</v>
      </c>
      <c r="O85" s="414">
        <v>6</v>
      </c>
      <c r="P85" s="419">
        <v>3.76</v>
      </c>
      <c r="Q85" s="157">
        <f t="shared" si="30"/>
        <v>312832</v>
      </c>
      <c r="R85" s="157">
        <v>8000</v>
      </c>
      <c r="S85" s="432">
        <v>0</v>
      </c>
      <c r="T85" s="164">
        <f t="shared" si="33"/>
        <v>320832</v>
      </c>
      <c r="U85" s="63">
        <v>1</v>
      </c>
      <c r="V85" s="164">
        <f aca="true" t="shared" si="40" ref="V85:X110">J85-Q85</f>
        <v>0</v>
      </c>
      <c r="W85" s="164">
        <f t="shared" si="40"/>
        <v>0</v>
      </c>
      <c r="X85" s="164">
        <f t="shared" si="40"/>
        <v>0</v>
      </c>
      <c r="Y85" s="164">
        <f t="shared" si="36"/>
        <v>0</v>
      </c>
      <c r="Z85" s="63">
        <v>1</v>
      </c>
      <c r="AA85" s="337">
        <v>8</v>
      </c>
      <c r="AB85" s="419">
        <v>3.88</v>
      </c>
      <c r="AC85" s="157">
        <f t="shared" si="31"/>
        <v>322816</v>
      </c>
      <c r="AD85" s="157">
        <v>8000</v>
      </c>
      <c r="AE85" s="432">
        <v>0</v>
      </c>
      <c r="AF85" s="164">
        <f t="shared" si="34"/>
        <v>330816</v>
      </c>
      <c r="AG85" s="63">
        <v>1</v>
      </c>
      <c r="AH85" s="157">
        <f>+AA85+1</f>
        <v>9</v>
      </c>
      <c r="AI85" s="157">
        <v>3.88</v>
      </c>
      <c r="AJ85" s="426">
        <f t="shared" si="32"/>
        <v>322816</v>
      </c>
      <c r="AK85" s="157">
        <v>8000</v>
      </c>
      <c r="AL85" s="432">
        <v>0</v>
      </c>
      <c r="AM85" s="164">
        <f t="shared" si="35"/>
        <v>330816</v>
      </c>
    </row>
    <row r="86" spans="1:39" s="4" customFormat="1" ht="25.5">
      <c r="A86" s="429">
        <v>69</v>
      </c>
      <c r="B86" s="423" t="s">
        <v>411</v>
      </c>
      <c r="C86" s="423" t="s">
        <v>821</v>
      </c>
      <c r="D86" s="423">
        <v>1990</v>
      </c>
      <c r="E86" s="430" t="s">
        <v>375</v>
      </c>
      <c r="F86" s="433" t="s">
        <v>680</v>
      </c>
      <c r="G86" s="63">
        <v>1</v>
      </c>
      <c r="H86" s="164">
        <v>7</v>
      </c>
      <c r="I86" s="419">
        <v>3.76</v>
      </c>
      <c r="J86" s="63">
        <f t="shared" si="29"/>
        <v>312832</v>
      </c>
      <c r="K86" s="63">
        <v>8000</v>
      </c>
      <c r="L86" s="63"/>
      <c r="M86" s="164">
        <f t="shared" si="38"/>
        <v>320832</v>
      </c>
      <c r="N86" s="63">
        <v>1</v>
      </c>
      <c r="O86" s="414">
        <v>6</v>
      </c>
      <c r="P86" s="419">
        <v>3.76</v>
      </c>
      <c r="Q86" s="157">
        <f t="shared" si="30"/>
        <v>312832</v>
      </c>
      <c r="R86" s="157">
        <v>8000</v>
      </c>
      <c r="S86" s="63"/>
      <c r="T86" s="164">
        <f t="shared" si="33"/>
        <v>320832</v>
      </c>
      <c r="U86" s="63">
        <v>1</v>
      </c>
      <c r="V86" s="164">
        <f t="shared" si="40"/>
        <v>0</v>
      </c>
      <c r="W86" s="164">
        <f t="shared" si="40"/>
        <v>0</v>
      </c>
      <c r="X86" s="164">
        <f t="shared" si="40"/>
        <v>0</v>
      </c>
      <c r="Y86" s="164">
        <f t="shared" si="36"/>
        <v>0</v>
      </c>
      <c r="Z86" s="63">
        <v>1</v>
      </c>
      <c r="AA86" s="337">
        <v>8</v>
      </c>
      <c r="AB86" s="419">
        <v>3.88</v>
      </c>
      <c r="AC86" s="157">
        <f t="shared" si="31"/>
        <v>322816</v>
      </c>
      <c r="AD86" s="157">
        <v>8000</v>
      </c>
      <c r="AE86" s="63"/>
      <c r="AF86" s="164">
        <f t="shared" si="34"/>
        <v>330816</v>
      </c>
      <c r="AG86" s="63">
        <v>1</v>
      </c>
      <c r="AH86" s="157">
        <f>+AA86+1</f>
        <v>9</v>
      </c>
      <c r="AI86" s="157">
        <v>3.88</v>
      </c>
      <c r="AJ86" s="426">
        <f t="shared" si="32"/>
        <v>322816</v>
      </c>
      <c r="AK86" s="157">
        <v>8000</v>
      </c>
      <c r="AL86" s="63"/>
      <c r="AM86" s="164">
        <f t="shared" si="35"/>
        <v>330816</v>
      </c>
    </row>
    <row r="87" spans="1:39" s="406" customFormat="1" ht="13.5">
      <c r="A87" s="429">
        <v>71</v>
      </c>
      <c r="B87" s="423" t="s">
        <v>412</v>
      </c>
      <c r="C87" s="423" t="s">
        <v>823</v>
      </c>
      <c r="D87" s="423">
        <v>1992</v>
      </c>
      <c r="E87" s="415" t="s">
        <v>376</v>
      </c>
      <c r="F87" s="436" t="s">
        <v>716</v>
      </c>
      <c r="G87" s="444">
        <v>1</v>
      </c>
      <c r="H87" s="414">
        <v>5</v>
      </c>
      <c r="I87" s="445">
        <v>1.41</v>
      </c>
      <c r="J87" s="63">
        <f t="shared" si="29"/>
        <v>117312</v>
      </c>
      <c r="K87" s="444">
        <v>8000</v>
      </c>
      <c r="L87" s="470"/>
      <c r="M87" s="164">
        <f t="shared" si="38"/>
        <v>125312</v>
      </c>
      <c r="N87" s="444">
        <v>1</v>
      </c>
      <c r="O87" s="414">
        <v>4</v>
      </c>
      <c r="P87" s="445">
        <v>1.41</v>
      </c>
      <c r="Q87" s="157">
        <f t="shared" si="30"/>
        <v>117312</v>
      </c>
      <c r="R87" s="337">
        <v>8000</v>
      </c>
      <c r="S87" s="470"/>
      <c r="T87" s="164">
        <f t="shared" si="33"/>
        <v>125312</v>
      </c>
      <c r="U87" s="444">
        <v>1</v>
      </c>
      <c r="V87" s="414">
        <f t="shared" si="40"/>
        <v>0</v>
      </c>
      <c r="W87" s="414">
        <f t="shared" si="40"/>
        <v>0</v>
      </c>
      <c r="X87" s="414">
        <f t="shared" si="40"/>
        <v>0</v>
      </c>
      <c r="Y87" s="414">
        <f t="shared" si="36"/>
        <v>0</v>
      </c>
      <c r="Z87" s="444">
        <v>1</v>
      </c>
      <c r="AA87" s="337">
        <v>6</v>
      </c>
      <c r="AB87" s="445">
        <v>1.45</v>
      </c>
      <c r="AC87" s="157">
        <f t="shared" si="31"/>
        <v>120640</v>
      </c>
      <c r="AD87" s="337">
        <v>8000</v>
      </c>
      <c r="AE87" s="470"/>
      <c r="AF87" s="164">
        <f t="shared" si="34"/>
        <v>128640</v>
      </c>
      <c r="AG87" s="444">
        <v>1</v>
      </c>
      <c r="AH87" s="157">
        <f aca="true" t="shared" si="41" ref="AH87:AH109">+AA87+1</f>
        <v>7</v>
      </c>
      <c r="AI87" s="337">
        <v>1.45</v>
      </c>
      <c r="AJ87" s="426">
        <f t="shared" si="32"/>
        <v>120640</v>
      </c>
      <c r="AK87" s="337">
        <v>8000</v>
      </c>
      <c r="AL87" s="470"/>
      <c r="AM87" s="164">
        <f t="shared" si="35"/>
        <v>128640</v>
      </c>
    </row>
    <row r="88" spans="1:39" s="4" customFormat="1" ht="13.5">
      <c r="A88" s="434">
        <v>72</v>
      </c>
      <c r="B88" s="423" t="s">
        <v>413</v>
      </c>
      <c r="C88" s="423" t="s">
        <v>821</v>
      </c>
      <c r="D88" s="423">
        <v>1959</v>
      </c>
      <c r="E88" s="430" t="s">
        <v>370</v>
      </c>
      <c r="F88" s="433" t="s">
        <v>683</v>
      </c>
      <c r="G88" s="63">
        <v>1</v>
      </c>
      <c r="H88" s="164">
        <v>19</v>
      </c>
      <c r="I88" s="419">
        <v>4.4</v>
      </c>
      <c r="J88" s="63">
        <f t="shared" si="29"/>
        <v>366080.00000000006</v>
      </c>
      <c r="K88" s="63">
        <v>8000</v>
      </c>
      <c r="L88" s="432">
        <f>+J88*5%</f>
        <v>18304.000000000004</v>
      </c>
      <c r="M88" s="164">
        <f t="shared" si="38"/>
        <v>392384.00000000006</v>
      </c>
      <c r="N88" s="63">
        <v>1</v>
      </c>
      <c r="O88" s="414">
        <v>18</v>
      </c>
      <c r="P88" s="419">
        <v>4.4</v>
      </c>
      <c r="Q88" s="157">
        <f t="shared" si="30"/>
        <v>366080.00000000006</v>
      </c>
      <c r="R88" s="157">
        <v>8000</v>
      </c>
      <c r="S88" s="432">
        <f>+Q88*5%</f>
        <v>18304.000000000004</v>
      </c>
      <c r="T88" s="164">
        <f t="shared" si="33"/>
        <v>392384.00000000006</v>
      </c>
      <c r="U88" s="63">
        <v>1</v>
      </c>
      <c r="V88" s="164">
        <f t="shared" si="40"/>
        <v>0</v>
      </c>
      <c r="W88" s="164">
        <f t="shared" si="40"/>
        <v>0</v>
      </c>
      <c r="X88" s="164">
        <f t="shared" si="40"/>
        <v>0</v>
      </c>
      <c r="Y88" s="164">
        <f t="shared" si="36"/>
        <v>0</v>
      </c>
      <c r="Z88" s="63">
        <v>1</v>
      </c>
      <c r="AA88" s="337">
        <v>20</v>
      </c>
      <c r="AB88" s="419">
        <v>4.4</v>
      </c>
      <c r="AC88" s="157">
        <f t="shared" si="31"/>
        <v>366080.00000000006</v>
      </c>
      <c r="AD88" s="157">
        <v>8000</v>
      </c>
      <c r="AE88" s="432">
        <f>+AC88*5%</f>
        <v>18304.000000000004</v>
      </c>
      <c r="AF88" s="164">
        <f t="shared" si="34"/>
        <v>392384.00000000006</v>
      </c>
      <c r="AG88" s="63">
        <v>1</v>
      </c>
      <c r="AH88" s="157">
        <f t="shared" si="41"/>
        <v>21</v>
      </c>
      <c r="AI88" s="157">
        <v>4.4</v>
      </c>
      <c r="AJ88" s="426">
        <f t="shared" si="32"/>
        <v>366080.00000000006</v>
      </c>
      <c r="AK88" s="157">
        <v>8000</v>
      </c>
      <c r="AL88" s="432">
        <f>+AJ88*5%</f>
        <v>18304.000000000004</v>
      </c>
      <c r="AM88" s="164">
        <f t="shared" si="35"/>
        <v>392384.00000000006</v>
      </c>
    </row>
    <row r="89" spans="1:39" s="4" customFormat="1" ht="13.5">
      <c r="A89" s="429">
        <v>73</v>
      </c>
      <c r="B89" s="423" t="s">
        <v>414</v>
      </c>
      <c r="C89" s="423" t="s">
        <v>823</v>
      </c>
      <c r="D89" s="423">
        <v>1983</v>
      </c>
      <c r="E89" s="430" t="s">
        <v>375</v>
      </c>
      <c r="F89" s="433" t="s">
        <v>684</v>
      </c>
      <c r="G89" s="63">
        <v>1</v>
      </c>
      <c r="H89" s="164">
        <v>9</v>
      </c>
      <c r="I89" s="419">
        <v>3.88</v>
      </c>
      <c r="J89" s="63">
        <f t="shared" si="29"/>
        <v>322816</v>
      </c>
      <c r="K89" s="63">
        <v>8000</v>
      </c>
      <c r="L89" s="432">
        <v>0</v>
      </c>
      <c r="M89" s="164">
        <f t="shared" si="38"/>
        <v>330816</v>
      </c>
      <c r="N89" s="63">
        <v>1</v>
      </c>
      <c r="O89" s="414">
        <v>8</v>
      </c>
      <c r="P89" s="419">
        <v>3.88</v>
      </c>
      <c r="Q89" s="157">
        <f t="shared" si="30"/>
        <v>322816</v>
      </c>
      <c r="R89" s="157">
        <v>8000</v>
      </c>
      <c r="S89" s="432">
        <v>0</v>
      </c>
      <c r="T89" s="164">
        <f t="shared" si="33"/>
        <v>330816</v>
      </c>
      <c r="U89" s="63">
        <v>1</v>
      </c>
      <c r="V89" s="164">
        <f t="shared" si="40"/>
        <v>0</v>
      </c>
      <c r="W89" s="164">
        <f t="shared" si="40"/>
        <v>0</v>
      </c>
      <c r="X89" s="164">
        <f t="shared" si="40"/>
        <v>0</v>
      </c>
      <c r="Y89" s="164">
        <f t="shared" si="36"/>
        <v>0</v>
      </c>
      <c r="Z89" s="63">
        <v>1</v>
      </c>
      <c r="AA89" s="337">
        <v>10</v>
      </c>
      <c r="AB89" s="419">
        <v>4.01</v>
      </c>
      <c r="AC89" s="157">
        <f t="shared" si="31"/>
        <v>333632</v>
      </c>
      <c r="AD89" s="157">
        <v>8000</v>
      </c>
      <c r="AE89" s="432">
        <v>0</v>
      </c>
      <c r="AF89" s="164">
        <f t="shared" si="34"/>
        <v>341632</v>
      </c>
      <c r="AG89" s="63">
        <v>1</v>
      </c>
      <c r="AH89" s="157">
        <f t="shared" si="41"/>
        <v>11</v>
      </c>
      <c r="AI89" s="157">
        <v>4.01</v>
      </c>
      <c r="AJ89" s="426">
        <f t="shared" si="32"/>
        <v>333632</v>
      </c>
      <c r="AK89" s="157">
        <v>8000</v>
      </c>
      <c r="AL89" s="432">
        <v>0</v>
      </c>
      <c r="AM89" s="164">
        <f t="shared" si="35"/>
        <v>341632</v>
      </c>
    </row>
    <row r="90" spans="1:39" s="4" customFormat="1" ht="25.5">
      <c r="A90" s="429">
        <v>75</v>
      </c>
      <c r="B90" s="423" t="s">
        <v>415</v>
      </c>
      <c r="C90" s="423" t="s">
        <v>821</v>
      </c>
      <c r="D90" s="423">
        <v>1961</v>
      </c>
      <c r="E90" s="423" t="s">
        <v>392</v>
      </c>
      <c r="F90" s="433" t="s">
        <v>717</v>
      </c>
      <c r="G90" s="63">
        <v>1</v>
      </c>
      <c r="H90" s="164">
        <v>20</v>
      </c>
      <c r="I90" s="419">
        <v>3.11</v>
      </c>
      <c r="J90" s="63">
        <f t="shared" si="29"/>
        <v>258752</v>
      </c>
      <c r="K90" s="63">
        <v>8000</v>
      </c>
      <c r="L90" s="432">
        <f>+J90*5%</f>
        <v>12937.6</v>
      </c>
      <c r="M90" s="164">
        <f t="shared" si="38"/>
        <v>279689.6</v>
      </c>
      <c r="N90" s="63">
        <v>1</v>
      </c>
      <c r="O90" s="414">
        <v>19</v>
      </c>
      <c r="P90" s="419">
        <v>3.11</v>
      </c>
      <c r="Q90" s="157">
        <f t="shared" si="30"/>
        <v>258752</v>
      </c>
      <c r="R90" s="157">
        <v>8000</v>
      </c>
      <c r="S90" s="432">
        <f>+Q90*5%</f>
        <v>12937.6</v>
      </c>
      <c r="T90" s="164">
        <f t="shared" si="33"/>
        <v>279689.6</v>
      </c>
      <c r="U90" s="63">
        <v>1</v>
      </c>
      <c r="V90" s="164">
        <f t="shared" si="40"/>
        <v>0</v>
      </c>
      <c r="W90" s="164">
        <f t="shared" si="40"/>
        <v>0</v>
      </c>
      <c r="X90" s="164">
        <f t="shared" si="40"/>
        <v>0</v>
      </c>
      <c r="Y90" s="164">
        <f t="shared" si="36"/>
        <v>0</v>
      </c>
      <c r="Z90" s="63">
        <v>1</v>
      </c>
      <c r="AA90" s="337">
        <v>21</v>
      </c>
      <c r="AB90" s="419">
        <v>3.11</v>
      </c>
      <c r="AC90" s="157">
        <f t="shared" si="31"/>
        <v>258752</v>
      </c>
      <c r="AD90" s="157">
        <v>8000</v>
      </c>
      <c r="AE90" s="432">
        <f>+AC90*5%</f>
        <v>12937.6</v>
      </c>
      <c r="AF90" s="164">
        <f t="shared" si="34"/>
        <v>279689.6</v>
      </c>
      <c r="AG90" s="63">
        <v>1</v>
      </c>
      <c r="AH90" s="157">
        <f t="shared" si="41"/>
        <v>22</v>
      </c>
      <c r="AI90" s="157">
        <v>3.11</v>
      </c>
      <c r="AJ90" s="426">
        <f t="shared" si="32"/>
        <v>258752</v>
      </c>
      <c r="AK90" s="157">
        <v>8000</v>
      </c>
      <c r="AL90" s="432">
        <f>+AJ90*5%</f>
        <v>12937.6</v>
      </c>
      <c r="AM90" s="164">
        <f t="shared" si="35"/>
        <v>279689.6</v>
      </c>
    </row>
    <row r="91" spans="1:39" s="4" customFormat="1" ht="13.5">
      <c r="A91" s="434">
        <v>76</v>
      </c>
      <c r="B91" s="423" t="s">
        <v>416</v>
      </c>
      <c r="C91" s="423" t="s">
        <v>821</v>
      </c>
      <c r="D91" s="423">
        <v>1969</v>
      </c>
      <c r="E91" s="430" t="s">
        <v>370</v>
      </c>
      <c r="F91" s="433" t="s">
        <v>718</v>
      </c>
      <c r="G91" s="63">
        <v>1</v>
      </c>
      <c r="H91" s="164">
        <v>20</v>
      </c>
      <c r="I91" s="419">
        <v>4.4</v>
      </c>
      <c r="J91" s="63">
        <f t="shared" si="29"/>
        <v>366080.00000000006</v>
      </c>
      <c r="K91" s="63">
        <v>8000</v>
      </c>
      <c r="L91" s="432">
        <f>+J91*5%</f>
        <v>18304.000000000004</v>
      </c>
      <c r="M91" s="164">
        <f t="shared" si="38"/>
        <v>392384.00000000006</v>
      </c>
      <c r="N91" s="63">
        <v>1</v>
      </c>
      <c r="O91" s="414">
        <v>19</v>
      </c>
      <c r="P91" s="419">
        <v>4.4</v>
      </c>
      <c r="Q91" s="157">
        <f t="shared" si="30"/>
        <v>366080.00000000006</v>
      </c>
      <c r="R91" s="157">
        <v>8000</v>
      </c>
      <c r="S91" s="432">
        <f>+Q91*5%</f>
        <v>18304.000000000004</v>
      </c>
      <c r="T91" s="164">
        <f t="shared" si="33"/>
        <v>392384.00000000006</v>
      </c>
      <c r="U91" s="63">
        <v>1</v>
      </c>
      <c r="V91" s="164">
        <f t="shared" si="40"/>
        <v>0</v>
      </c>
      <c r="W91" s="164">
        <f t="shared" si="40"/>
        <v>0</v>
      </c>
      <c r="X91" s="164">
        <f t="shared" si="40"/>
        <v>0</v>
      </c>
      <c r="Y91" s="164">
        <f t="shared" si="36"/>
        <v>0</v>
      </c>
      <c r="Z91" s="63">
        <v>1</v>
      </c>
      <c r="AA91" s="337">
        <v>21</v>
      </c>
      <c r="AB91" s="419">
        <v>4.4</v>
      </c>
      <c r="AC91" s="157">
        <f t="shared" si="31"/>
        <v>366080.00000000006</v>
      </c>
      <c r="AD91" s="157">
        <v>8000</v>
      </c>
      <c r="AE91" s="432">
        <f>+AC91*5%</f>
        <v>18304.000000000004</v>
      </c>
      <c r="AF91" s="164">
        <f t="shared" si="34"/>
        <v>392384.00000000006</v>
      </c>
      <c r="AG91" s="63">
        <v>1</v>
      </c>
      <c r="AH91" s="157">
        <f t="shared" si="41"/>
        <v>22</v>
      </c>
      <c r="AI91" s="157">
        <v>4.4</v>
      </c>
      <c r="AJ91" s="426">
        <f t="shared" si="32"/>
        <v>366080.00000000006</v>
      </c>
      <c r="AK91" s="157">
        <v>8000</v>
      </c>
      <c r="AL91" s="432">
        <f>+AJ91*5%</f>
        <v>18304.000000000004</v>
      </c>
      <c r="AM91" s="164">
        <f t="shared" si="35"/>
        <v>392384.00000000006</v>
      </c>
    </row>
    <row r="92" spans="1:39" s="4" customFormat="1" ht="24.75" customHeight="1">
      <c r="A92" s="429">
        <v>77</v>
      </c>
      <c r="B92" s="423" t="s">
        <v>417</v>
      </c>
      <c r="C92" s="423" t="s">
        <v>821</v>
      </c>
      <c r="D92" s="423">
        <v>1977</v>
      </c>
      <c r="E92" s="430" t="s">
        <v>375</v>
      </c>
      <c r="F92" s="433" t="s">
        <v>719</v>
      </c>
      <c r="G92" s="63">
        <v>1</v>
      </c>
      <c r="H92" s="164">
        <v>11</v>
      </c>
      <c r="I92" s="419">
        <v>4.01</v>
      </c>
      <c r="J92" s="63">
        <f t="shared" si="29"/>
        <v>333632</v>
      </c>
      <c r="K92" s="63">
        <v>8000</v>
      </c>
      <c r="L92" s="432">
        <f>+J92*5%</f>
        <v>16681.600000000002</v>
      </c>
      <c r="M92" s="164">
        <f t="shared" si="38"/>
        <v>358313.6</v>
      </c>
      <c r="N92" s="63">
        <v>1</v>
      </c>
      <c r="O92" s="414">
        <v>10</v>
      </c>
      <c r="P92" s="419">
        <v>4.01</v>
      </c>
      <c r="Q92" s="157">
        <f t="shared" si="30"/>
        <v>333632</v>
      </c>
      <c r="R92" s="157">
        <v>8000</v>
      </c>
      <c r="S92" s="432">
        <f>+Q92*5%</f>
        <v>16681.600000000002</v>
      </c>
      <c r="T92" s="164">
        <f t="shared" si="33"/>
        <v>358313.6</v>
      </c>
      <c r="U92" s="63">
        <v>1</v>
      </c>
      <c r="V92" s="164">
        <f t="shared" si="40"/>
        <v>0</v>
      </c>
      <c r="W92" s="164">
        <f t="shared" si="40"/>
        <v>0</v>
      </c>
      <c r="X92" s="164">
        <f t="shared" si="40"/>
        <v>0</v>
      </c>
      <c r="Y92" s="164">
        <f t="shared" si="36"/>
        <v>0</v>
      </c>
      <c r="Z92" s="63">
        <v>1</v>
      </c>
      <c r="AA92" s="337">
        <v>12</v>
      </c>
      <c r="AB92" s="419">
        <v>4.01</v>
      </c>
      <c r="AC92" s="157">
        <f t="shared" si="31"/>
        <v>333632</v>
      </c>
      <c r="AD92" s="157">
        <v>8000</v>
      </c>
      <c r="AE92" s="432">
        <f>+AC92*5%</f>
        <v>16681.600000000002</v>
      </c>
      <c r="AF92" s="164">
        <f t="shared" si="34"/>
        <v>358313.6</v>
      </c>
      <c r="AG92" s="63">
        <v>1</v>
      </c>
      <c r="AH92" s="157">
        <f t="shared" si="41"/>
        <v>13</v>
      </c>
      <c r="AI92" s="157">
        <v>4.13</v>
      </c>
      <c r="AJ92" s="426">
        <f t="shared" si="32"/>
        <v>343616</v>
      </c>
      <c r="AK92" s="157">
        <v>8000</v>
      </c>
      <c r="AL92" s="432">
        <f>+AJ92*5%</f>
        <v>17180.8</v>
      </c>
      <c r="AM92" s="164">
        <f t="shared" si="35"/>
        <v>368796.8</v>
      </c>
    </row>
    <row r="93" spans="1:39" s="551" customFormat="1" ht="13.5">
      <c r="A93" s="542">
        <v>89</v>
      </c>
      <c r="B93" s="555" t="s">
        <v>589</v>
      </c>
      <c r="C93" s="555"/>
      <c r="D93" s="555"/>
      <c r="E93" s="543"/>
      <c r="F93" s="556"/>
      <c r="G93" s="546"/>
      <c r="H93" s="547"/>
      <c r="I93" s="548"/>
      <c r="J93" s="546">
        <f>+I93*83200</f>
        <v>0</v>
      </c>
      <c r="K93" s="546"/>
      <c r="L93" s="546"/>
      <c r="M93" s="547">
        <f>J93+K93+L93</f>
        <v>0</v>
      </c>
      <c r="N93" s="546"/>
      <c r="O93" s="547"/>
      <c r="P93" s="548"/>
      <c r="Q93" s="549">
        <f>+P93*83200</f>
        <v>0</v>
      </c>
      <c r="R93" s="546"/>
      <c r="S93" s="546"/>
      <c r="T93" s="547">
        <f>Q93+R93+S93</f>
        <v>0</v>
      </c>
      <c r="U93" s="546"/>
      <c r="V93" s="547">
        <f aca="true" t="shared" si="42" ref="V93:X96">J93-Q93</f>
        <v>0</v>
      </c>
      <c r="W93" s="547">
        <f t="shared" si="42"/>
        <v>0</v>
      </c>
      <c r="X93" s="547">
        <f t="shared" si="42"/>
        <v>0</v>
      </c>
      <c r="Y93" s="547">
        <f>V93+W93+X93</f>
        <v>0</v>
      </c>
      <c r="Z93" s="546"/>
      <c r="AA93" s="549"/>
      <c r="AB93" s="548"/>
      <c r="AC93" s="549">
        <f>+AB93*83200</f>
        <v>0</v>
      </c>
      <c r="AD93" s="546"/>
      <c r="AE93" s="546"/>
      <c r="AF93" s="547">
        <f>AC93+AD93+AE93</f>
        <v>0</v>
      </c>
      <c r="AG93" s="546"/>
      <c r="AH93" s="549"/>
      <c r="AI93" s="549"/>
      <c r="AJ93" s="550">
        <f>+AI93*83200</f>
        <v>0</v>
      </c>
      <c r="AK93" s="549"/>
      <c r="AL93" s="546"/>
      <c r="AM93" s="547">
        <f>AJ93+AK93+AL93</f>
        <v>0</v>
      </c>
    </row>
    <row r="94" spans="1:39" s="4" customFormat="1" ht="13.5">
      <c r="A94" s="429">
        <v>82</v>
      </c>
      <c r="B94" s="423" t="s">
        <v>419</v>
      </c>
      <c r="C94" s="423" t="s">
        <v>821</v>
      </c>
      <c r="D94" s="423">
        <v>1960</v>
      </c>
      <c r="E94" s="430" t="s">
        <v>370</v>
      </c>
      <c r="F94" s="431" t="s">
        <v>682</v>
      </c>
      <c r="G94" s="63">
        <v>1</v>
      </c>
      <c r="H94" s="164">
        <v>6</v>
      </c>
      <c r="I94" s="419">
        <v>4.4</v>
      </c>
      <c r="J94" s="63">
        <f>+I94*83200</f>
        <v>366080.00000000006</v>
      </c>
      <c r="K94" s="63">
        <v>8000</v>
      </c>
      <c r="L94" s="63"/>
      <c r="M94" s="164">
        <f>J94+K94+L94</f>
        <v>374080.00000000006</v>
      </c>
      <c r="N94" s="63">
        <v>1</v>
      </c>
      <c r="O94" s="414">
        <v>5</v>
      </c>
      <c r="P94" s="419">
        <v>4.4</v>
      </c>
      <c r="Q94" s="157">
        <f>+P94*83200</f>
        <v>366080.00000000006</v>
      </c>
      <c r="R94" s="157">
        <v>8000</v>
      </c>
      <c r="S94" s="63"/>
      <c r="T94" s="164">
        <f>Q94+R94+S94</f>
        <v>374080.00000000006</v>
      </c>
      <c r="U94" s="63">
        <v>1</v>
      </c>
      <c r="V94" s="164">
        <f t="shared" si="42"/>
        <v>0</v>
      </c>
      <c r="W94" s="164">
        <f t="shared" si="42"/>
        <v>0</v>
      </c>
      <c r="X94" s="164">
        <f t="shared" si="42"/>
        <v>0</v>
      </c>
      <c r="Y94" s="164">
        <f>V94+W94+X94</f>
        <v>0</v>
      </c>
      <c r="Z94" s="63">
        <v>1</v>
      </c>
      <c r="AA94" s="337">
        <v>7</v>
      </c>
      <c r="AB94" s="419">
        <v>4.4</v>
      </c>
      <c r="AC94" s="157">
        <f>+AB94*83200</f>
        <v>366080.00000000006</v>
      </c>
      <c r="AD94" s="157">
        <v>8000</v>
      </c>
      <c r="AE94" s="63"/>
      <c r="AF94" s="164">
        <f>AC94+AD94+AE94</f>
        <v>374080.00000000006</v>
      </c>
      <c r="AG94" s="63">
        <v>1</v>
      </c>
      <c r="AH94" s="157">
        <f>+AA94+1</f>
        <v>8</v>
      </c>
      <c r="AI94" s="157">
        <v>4.4</v>
      </c>
      <c r="AJ94" s="426">
        <f>+AI94*83200</f>
        <v>366080.00000000006</v>
      </c>
      <c r="AK94" s="157">
        <v>8000</v>
      </c>
      <c r="AL94" s="63"/>
      <c r="AM94" s="164">
        <f>AJ94+AK94+AL94</f>
        <v>374080.00000000006</v>
      </c>
    </row>
    <row r="95" spans="1:39" s="4" customFormat="1" ht="13.5">
      <c r="A95" s="429">
        <v>83</v>
      </c>
      <c r="B95" s="423" t="s">
        <v>420</v>
      </c>
      <c r="C95" s="423" t="s">
        <v>821</v>
      </c>
      <c r="D95" s="423">
        <v>1989</v>
      </c>
      <c r="E95" s="430" t="s">
        <v>601</v>
      </c>
      <c r="F95" s="431" t="s">
        <v>720</v>
      </c>
      <c r="G95" s="63">
        <v>1</v>
      </c>
      <c r="H95" s="164">
        <v>7</v>
      </c>
      <c r="I95" s="419">
        <v>3.76</v>
      </c>
      <c r="J95" s="63">
        <f>+I95*83200</f>
        <v>312832</v>
      </c>
      <c r="K95" s="63">
        <v>8000</v>
      </c>
      <c r="L95" s="338"/>
      <c r="M95" s="164">
        <f>J95+K95+L95</f>
        <v>320832</v>
      </c>
      <c r="N95" s="63">
        <v>1</v>
      </c>
      <c r="O95" s="471">
        <v>6</v>
      </c>
      <c r="P95" s="469">
        <v>3.76</v>
      </c>
      <c r="Q95" s="157">
        <f>+P95*83200</f>
        <v>312832</v>
      </c>
      <c r="R95" s="157">
        <v>8000</v>
      </c>
      <c r="S95" s="338"/>
      <c r="T95" s="164">
        <f>Q95+R95+S95</f>
        <v>320832</v>
      </c>
      <c r="U95" s="63">
        <v>1</v>
      </c>
      <c r="V95" s="164">
        <f t="shared" si="42"/>
        <v>0</v>
      </c>
      <c r="W95" s="164">
        <f t="shared" si="42"/>
        <v>0</v>
      </c>
      <c r="X95" s="164">
        <f t="shared" si="42"/>
        <v>0</v>
      </c>
      <c r="Y95" s="164">
        <f>V95+W95+X95</f>
        <v>0</v>
      </c>
      <c r="Z95" s="63">
        <v>1</v>
      </c>
      <c r="AA95" s="337">
        <v>8</v>
      </c>
      <c r="AB95" s="469">
        <v>3.88</v>
      </c>
      <c r="AC95" s="157">
        <f>+AB95*83200</f>
        <v>322816</v>
      </c>
      <c r="AD95" s="157">
        <v>8000</v>
      </c>
      <c r="AE95" s="338"/>
      <c r="AF95" s="164">
        <f>AC95+AD95+AE95</f>
        <v>330816</v>
      </c>
      <c r="AG95" s="63">
        <v>1</v>
      </c>
      <c r="AH95" s="157">
        <f>+AA95+1</f>
        <v>9</v>
      </c>
      <c r="AI95" s="157">
        <v>3.88</v>
      </c>
      <c r="AJ95" s="426">
        <f>+AI95*83200</f>
        <v>322816</v>
      </c>
      <c r="AK95" s="157">
        <v>8000</v>
      </c>
      <c r="AL95" s="338"/>
      <c r="AM95" s="164">
        <f>AJ95+AK95+AL95</f>
        <v>330816</v>
      </c>
    </row>
    <row r="96" spans="1:39" s="4" customFormat="1" ht="25.5">
      <c r="A96" s="429">
        <v>85</v>
      </c>
      <c r="B96" s="423" t="s">
        <v>421</v>
      </c>
      <c r="C96" s="423" t="s">
        <v>821</v>
      </c>
      <c r="D96" s="423">
        <v>1961</v>
      </c>
      <c r="E96" s="423" t="s">
        <v>392</v>
      </c>
      <c r="F96" s="466" t="s">
        <v>721</v>
      </c>
      <c r="G96" s="63">
        <v>1</v>
      </c>
      <c r="H96" s="164">
        <v>8</v>
      </c>
      <c r="I96" s="419">
        <v>2.35</v>
      </c>
      <c r="J96" s="63">
        <f>+I96*83200</f>
        <v>195520</v>
      </c>
      <c r="K96" s="63">
        <v>8000</v>
      </c>
      <c r="L96" s="63"/>
      <c r="M96" s="164">
        <f>J96+K96+L96</f>
        <v>203520</v>
      </c>
      <c r="N96" s="63">
        <v>1</v>
      </c>
      <c r="O96" s="414">
        <v>7</v>
      </c>
      <c r="P96" s="419">
        <v>2.28</v>
      </c>
      <c r="Q96" s="157">
        <f>+P96*83200</f>
        <v>189695.99999999997</v>
      </c>
      <c r="R96" s="157">
        <v>8000</v>
      </c>
      <c r="S96" s="63"/>
      <c r="T96" s="164">
        <f>Q96+R96+S96</f>
        <v>197695.99999999997</v>
      </c>
      <c r="U96" s="63">
        <v>1</v>
      </c>
      <c r="V96" s="164">
        <f t="shared" si="42"/>
        <v>5824.000000000029</v>
      </c>
      <c r="W96" s="164">
        <f t="shared" si="42"/>
        <v>0</v>
      </c>
      <c r="X96" s="164">
        <f t="shared" si="42"/>
        <v>0</v>
      </c>
      <c r="Y96" s="164">
        <f>V96+W96+X96</f>
        <v>5824.000000000029</v>
      </c>
      <c r="Z96" s="63">
        <v>1</v>
      </c>
      <c r="AA96" s="337">
        <v>9</v>
      </c>
      <c r="AB96" s="419">
        <v>2.35</v>
      </c>
      <c r="AC96" s="157">
        <f>+AB96*83200</f>
        <v>195520</v>
      </c>
      <c r="AD96" s="157">
        <v>8000</v>
      </c>
      <c r="AE96" s="63"/>
      <c r="AF96" s="164">
        <f>AC96+AD96+AE96</f>
        <v>203520</v>
      </c>
      <c r="AG96" s="63">
        <v>1</v>
      </c>
      <c r="AH96" s="157">
        <f>+AA96+1</f>
        <v>10</v>
      </c>
      <c r="AI96" s="157">
        <v>2.42</v>
      </c>
      <c r="AJ96" s="426">
        <f>+AI96*83200</f>
        <v>201344</v>
      </c>
      <c r="AK96" s="157">
        <v>8000</v>
      </c>
      <c r="AL96" s="63"/>
      <c r="AM96" s="164">
        <f>AJ96+AK96+AL96</f>
        <v>209344</v>
      </c>
    </row>
    <row r="97" spans="1:39" s="551" customFormat="1" ht="38.25">
      <c r="A97" s="542">
        <v>85</v>
      </c>
      <c r="B97" s="555" t="s">
        <v>587</v>
      </c>
      <c r="C97" s="555"/>
      <c r="D97" s="555"/>
      <c r="E97" s="544"/>
      <c r="F97" s="545"/>
      <c r="G97" s="546"/>
      <c r="H97" s="547"/>
      <c r="I97" s="548"/>
      <c r="J97" s="546">
        <f t="shared" si="29"/>
        <v>0</v>
      </c>
      <c r="K97" s="546"/>
      <c r="L97" s="546"/>
      <c r="M97" s="547">
        <f t="shared" si="38"/>
        <v>0</v>
      </c>
      <c r="N97" s="546"/>
      <c r="O97" s="547"/>
      <c r="P97" s="548"/>
      <c r="Q97" s="549">
        <f t="shared" si="30"/>
        <v>0</v>
      </c>
      <c r="R97" s="546"/>
      <c r="S97" s="546"/>
      <c r="T97" s="547">
        <f t="shared" si="33"/>
        <v>0</v>
      </c>
      <c r="U97" s="546"/>
      <c r="V97" s="547">
        <f t="shared" si="40"/>
        <v>0</v>
      </c>
      <c r="W97" s="547">
        <f t="shared" si="40"/>
        <v>0</v>
      </c>
      <c r="X97" s="547">
        <f t="shared" si="40"/>
        <v>0</v>
      </c>
      <c r="Y97" s="547">
        <f t="shared" si="36"/>
        <v>0</v>
      </c>
      <c r="Z97" s="546"/>
      <c r="AA97" s="549"/>
      <c r="AB97" s="548"/>
      <c r="AC97" s="549">
        <f t="shared" si="31"/>
        <v>0</v>
      </c>
      <c r="AD97" s="546"/>
      <c r="AE97" s="546"/>
      <c r="AF97" s="547">
        <f t="shared" si="34"/>
        <v>0</v>
      </c>
      <c r="AG97" s="546"/>
      <c r="AH97" s="549"/>
      <c r="AI97" s="549"/>
      <c r="AJ97" s="550">
        <f t="shared" si="32"/>
        <v>0</v>
      </c>
      <c r="AK97" s="549"/>
      <c r="AL97" s="546"/>
      <c r="AM97" s="547">
        <f t="shared" si="35"/>
        <v>0</v>
      </c>
    </row>
    <row r="98" spans="1:39" s="4" customFormat="1" ht="38.25" customHeight="1">
      <c r="A98" s="429">
        <v>79</v>
      </c>
      <c r="B98" s="423" t="s">
        <v>360</v>
      </c>
      <c r="C98" s="423"/>
      <c r="D98" s="423"/>
      <c r="E98" s="430" t="s">
        <v>370</v>
      </c>
      <c r="F98" s="433" t="s">
        <v>722</v>
      </c>
      <c r="G98" s="63">
        <v>1</v>
      </c>
      <c r="H98" s="164">
        <v>7</v>
      </c>
      <c r="I98" s="419">
        <v>3.76</v>
      </c>
      <c r="J98" s="63">
        <f t="shared" si="29"/>
        <v>312832</v>
      </c>
      <c r="K98" s="63">
        <v>8000</v>
      </c>
      <c r="L98" s="432">
        <f>+J98*5%</f>
        <v>15641.6</v>
      </c>
      <c r="M98" s="164">
        <f t="shared" si="38"/>
        <v>336473.6</v>
      </c>
      <c r="N98" s="63">
        <v>1</v>
      </c>
      <c r="O98" s="414">
        <v>6</v>
      </c>
      <c r="P98" s="419">
        <v>3.76</v>
      </c>
      <c r="Q98" s="157">
        <f t="shared" si="30"/>
        <v>312832</v>
      </c>
      <c r="R98" s="157">
        <v>8000</v>
      </c>
      <c r="S98" s="432">
        <f>+Q98*5%</f>
        <v>15641.6</v>
      </c>
      <c r="T98" s="164">
        <f t="shared" si="33"/>
        <v>336473.6</v>
      </c>
      <c r="U98" s="63">
        <v>1</v>
      </c>
      <c r="V98" s="164">
        <f t="shared" si="40"/>
        <v>0</v>
      </c>
      <c r="W98" s="164">
        <f t="shared" si="40"/>
        <v>0</v>
      </c>
      <c r="X98" s="164">
        <f t="shared" si="40"/>
        <v>0</v>
      </c>
      <c r="Y98" s="164">
        <f t="shared" si="36"/>
        <v>0</v>
      </c>
      <c r="Z98" s="63">
        <v>1</v>
      </c>
      <c r="AA98" s="337">
        <v>8</v>
      </c>
      <c r="AB98" s="419">
        <v>3.88</v>
      </c>
      <c r="AC98" s="157">
        <f t="shared" si="31"/>
        <v>322816</v>
      </c>
      <c r="AD98" s="157">
        <v>8000</v>
      </c>
      <c r="AE98" s="432">
        <f>+AC98*5%</f>
        <v>16140.800000000001</v>
      </c>
      <c r="AF98" s="164">
        <f t="shared" si="34"/>
        <v>346956.8</v>
      </c>
      <c r="AG98" s="63">
        <v>1</v>
      </c>
      <c r="AH98" s="157">
        <f t="shared" si="41"/>
        <v>9</v>
      </c>
      <c r="AI98" s="157">
        <v>3.88</v>
      </c>
      <c r="AJ98" s="426">
        <f t="shared" si="32"/>
        <v>322816</v>
      </c>
      <c r="AK98" s="157">
        <v>8000</v>
      </c>
      <c r="AL98" s="432">
        <f>+AJ98*5%</f>
        <v>16140.800000000001</v>
      </c>
      <c r="AM98" s="164">
        <f t="shared" si="35"/>
        <v>346956.8</v>
      </c>
    </row>
    <row r="99" spans="1:39" s="4" customFormat="1" ht="28.5" customHeight="1">
      <c r="A99" s="434">
        <v>80</v>
      </c>
      <c r="B99" s="423" t="s">
        <v>588</v>
      </c>
      <c r="C99" s="423" t="s">
        <v>821</v>
      </c>
      <c r="D99" s="423">
        <v>1984</v>
      </c>
      <c r="E99" s="430" t="s">
        <v>392</v>
      </c>
      <c r="F99" s="433" t="s">
        <v>723</v>
      </c>
      <c r="G99" s="63">
        <v>1</v>
      </c>
      <c r="H99" s="164">
        <v>1</v>
      </c>
      <c r="I99" s="419">
        <v>2.75</v>
      </c>
      <c r="J99" s="63">
        <f t="shared" si="29"/>
        <v>228800</v>
      </c>
      <c r="K99" s="63">
        <v>8000</v>
      </c>
      <c r="L99" s="432">
        <v>0</v>
      </c>
      <c r="M99" s="164">
        <f t="shared" si="38"/>
        <v>236800</v>
      </c>
      <c r="N99" s="63">
        <v>1</v>
      </c>
      <c r="O99" s="414">
        <v>0</v>
      </c>
      <c r="P99" s="419">
        <v>2.66</v>
      </c>
      <c r="Q99" s="157">
        <f t="shared" si="30"/>
        <v>221312</v>
      </c>
      <c r="R99" s="157">
        <v>8000</v>
      </c>
      <c r="S99" s="432">
        <v>0</v>
      </c>
      <c r="T99" s="164">
        <f t="shared" si="33"/>
        <v>229312</v>
      </c>
      <c r="U99" s="63">
        <v>1</v>
      </c>
      <c r="V99" s="164">
        <f t="shared" si="40"/>
        <v>7488</v>
      </c>
      <c r="W99" s="164">
        <f t="shared" si="40"/>
        <v>0</v>
      </c>
      <c r="X99" s="164">
        <f t="shared" si="40"/>
        <v>0</v>
      </c>
      <c r="Y99" s="164">
        <f t="shared" si="36"/>
        <v>7488</v>
      </c>
      <c r="Z99" s="63">
        <v>1</v>
      </c>
      <c r="AA99" s="337">
        <v>2</v>
      </c>
      <c r="AB99" s="419">
        <v>2.83</v>
      </c>
      <c r="AC99" s="157">
        <f t="shared" si="31"/>
        <v>235456</v>
      </c>
      <c r="AD99" s="157">
        <v>8000</v>
      </c>
      <c r="AE99" s="432">
        <v>0</v>
      </c>
      <c r="AF99" s="164">
        <f t="shared" si="34"/>
        <v>243456</v>
      </c>
      <c r="AG99" s="63">
        <v>1</v>
      </c>
      <c r="AH99" s="157">
        <f t="shared" si="41"/>
        <v>3</v>
      </c>
      <c r="AI99" s="157">
        <v>3.53</v>
      </c>
      <c r="AJ99" s="426">
        <f t="shared" si="32"/>
        <v>293696</v>
      </c>
      <c r="AK99" s="157">
        <v>8000</v>
      </c>
      <c r="AL99" s="432">
        <v>0</v>
      </c>
      <c r="AM99" s="164">
        <f t="shared" si="35"/>
        <v>301696</v>
      </c>
    </row>
    <row r="100" spans="1:39" s="4" customFormat="1" ht="25.5">
      <c r="A100" s="429">
        <v>81</v>
      </c>
      <c r="B100" s="423" t="s">
        <v>418</v>
      </c>
      <c r="C100" s="423" t="s">
        <v>821</v>
      </c>
      <c r="D100" s="423">
        <v>1973</v>
      </c>
      <c r="E100" s="430" t="s">
        <v>392</v>
      </c>
      <c r="F100" s="433" t="s">
        <v>724</v>
      </c>
      <c r="G100" s="63">
        <v>1</v>
      </c>
      <c r="H100" s="164">
        <v>10</v>
      </c>
      <c r="I100" s="419">
        <v>3.31</v>
      </c>
      <c r="J100" s="63">
        <f t="shared" si="29"/>
        <v>275392</v>
      </c>
      <c r="K100" s="63">
        <v>8000</v>
      </c>
      <c r="L100" s="432">
        <f>+J100*5%</f>
        <v>13769.6</v>
      </c>
      <c r="M100" s="164">
        <f t="shared" si="38"/>
        <v>297161.6</v>
      </c>
      <c r="N100" s="63">
        <v>1</v>
      </c>
      <c r="O100" s="414">
        <v>9</v>
      </c>
      <c r="P100" s="419">
        <v>3.21</v>
      </c>
      <c r="Q100" s="157">
        <f t="shared" si="30"/>
        <v>267072</v>
      </c>
      <c r="R100" s="157">
        <v>8000</v>
      </c>
      <c r="S100" s="432">
        <f>+Q100*5%</f>
        <v>13353.6</v>
      </c>
      <c r="T100" s="164">
        <f t="shared" si="33"/>
        <v>288425.6</v>
      </c>
      <c r="U100" s="63">
        <v>1</v>
      </c>
      <c r="V100" s="164">
        <f t="shared" si="40"/>
        <v>8320</v>
      </c>
      <c r="W100" s="164">
        <f t="shared" si="40"/>
        <v>0</v>
      </c>
      <c r="X100" s="164">
        <f t="shared" si="40"/>
        <v>416</v>
      </c>
      <c r="Y100" s="164">
        <f t="shared" si="36"/>
        <v>8736</v>
      </c>
      <c r="Z100" s="63">
        <v>1</v>
      </c>
      <c r="AA100" s="337">
        <v>11</v>
      </c>
      <c r="AB100" s="419">
        <v>3.31</v>
      </c>
      <c r="AC100" s="157">
        <f t="shared" si="31"/>
        <v>275392</v>
      </c>
      <c r="AD100" s="157">
        <v>8000</v>
      </c>
      <c r="AE100" s="432">
        <f>+AC100*5%</f>
        <v>13769.6</v>
      </c>
      <c r="AF100" s="164">
        <f t="shared" si="34"/>
        <v>297161.6</v>
      </c>
      <c r="AG100" s="63">
        <v>1</v>
      </c>
      <c r="AH100" s="157">
        <f t="shared" si="41"/>
        <v>12</v>
      </c>
      <c r="AI100" s="157">
        <v>3.31</v>
      </c>
      <c r="AJ100" s="426">
        <f t="shared" si="32"/>
        <v>275392</v>
      </c>
      <c r="AK100" s="157">
        <v>8000</v>
      </c>
      <c r="AL100" s="432">
        <f>+AJ100*5%</f>
        <v>13769.6</v>
      </c>
      <c r="AM100" s="164">
        <f t="shared" si="35"/>
        <v>297161.6</v>
      </c>
    </row>
    <row r="101" spans="1:39" s="551" customFormat="1" ht="51">
      <c r="A101" s="542">
        <v>96</v>
      </c>
      <c r="B101" s="555" t="s">
        <v>590</v>
      </c>
      <c r="C101" s="555"/>
      <c r="D101" s="555"/>
      <c r="E101" s="544"/>
      <c r="F101" s="545"/>
      <c r="G101" s="546"/>
      <c r="H101" s="547"/>
      <c r="I101" s="548"/>
      <c r="J101" s="546">
        <f t="shared" si="29"/>
        <v>0</v>
      </c>
      <c r="K101" s="546"/>
      <c r="L101" s="546"/>
      <c r="M101" s="547">
        <f t="shared" si="38"/>
        <v>0</v>
      </c>
      <c r="N101" s="546"/>
      <c r="O101" s="547"/>
      <c r="P101" s="548"/>
      <c r="Q101" s="549">
        <f t="shared" si="30"/>
        <v>0</v>
      </c>
      <c r="R101" s="546"/>
      <c r="S101" s="546"/>
      <c r="T101" s="547">
        <f t="shared" si="33"/>
        <v>0</v>
      </c>
      <c r="U101" s="546"/>
      <c r="V101" s="547">
        <f t="shared" si="40"/>
        <v>0</v>
      </c>
      <c r="W101" s="547">
        <f t="shared" si="40"/>
        <v>0</v>
      </c>
      <c r="X101" s="547">
        <f t="shared" si="40"/>
        <v>0</v>
      </c>
      <c r="Y101" s="547">
        <f t="shared" si="36"/>
        <v>0</v>
      </c>
      <c r="Z101" s="546"/>
      <c r="AA101" s="549"/>
      <c r="AB101" s="548"/>
      <c r="AC101" s="549">
        <f t="shared" si="31"/>
        <v>0</v>
      </c>
      <c r="AD101" s="546"/>
      <c r="AE101" s="546"/>
      <c r="AF101" s="547">
        <f t="shared" si="34"/>
        <v>0</v>
      </c>
      <c r="AG101" s="546"/>
      <c r="AH101" s="549"/>
      <c r="AI101" s="549"/>
      <c r="AJ101" s="550">
        <f t="shared" si="32"/>
        <v>0</v>
      </c>
      <c r="AK101" s="549"/>
      <c r="AL101" s="546"/>
      <c r="AM101" s="547">
        <f t="shared" si="35"/>
        <v>0</v>
      </c>
    </row>
    <row r="102" spans="1:39" s="4" customFormat="1" ht="13.5">
      <c r="A102" s="434">
        <v>88</v>
      </c>
      <c r="B102" s="423" t="s">
        <v>423</v>
      </c>
      <c r="C102" s="423" t="s">
        <v>823</v>
      </c>
      <c r="D102" s="423">
        <v>1986</v>
      </c>
      <c r="E102" s="430" t="s">
        <v>368</v>
      </c>
      <c r="F102" s="466" t="s">
        <v>725</v>
      </c>
      <c r="G102" s="63">
        <v>1</v>
      </c>
      <c r="H102" s="164">
        <v>5</v>
      </c>
      <c r="I102" s="419">
        <v>4.41</v>
      </c>
      <c r="J102" s="63">
        <f t="shared" si="29"/>
        <v>366912</v>
      </c>
      <c r="K102" s="63">
        <v>8000</v>
      </c>
      <c r="L102" s="63"/>
      <c r="M102" s="164">
        <f t="shared" si="38"/>
        <v>374912</v>
      </c>
      <c r="N102" s="63">
        <v>1</v>
      </c>
      <c r="O102" s="414">
        <v>0</v>
      </c>
      <c r="P102" s="419">
        <v>4.41</v>
      </c>
      <c r="Q102" s="157">
        <f t="shared" si="30"/>
        <v>366912</v>
      </c>
      <c r="R102" s="157">
        <v>8000</v>
      </c>
      <c r="S102" s="63"/>
      <c r="T102" s="164">
        <f t="shared" si="33"/>
        <v>374912</v>
      </c>
      <c r="U102" s="63">
        <v>1</v>
      </c>
      <c r="V102" s="164">
        <f t="shared" si="40"/>
        <v>0</v>
      </c>
      <c r="W102" s="164">
        <f t="shared" si="40"/>
        <v>0</v>
      </c>
      <c r="X102" s="164">
        <f t="shared" si="40"/>
        <v>0</v>
      </c>
      <c r="Y102" s="164">
        <f t="shared" si="36"/>
        <v>0</v>
      </c>
      <c r="Z102" s="63">
        <v>1</v>
      </c>
      <c r="AA102" s="337">
        <v>6</v>
      </c>
      <c r="AB102" s="419">
        <v>4.55</v>
      </c>
      <c r="AC102" s="157">
        <f t="shared" si="31"/>
        <v>378560</v>
      </c>
      <c r="AD102" s="157">
        <v>8000</v>
      </c>
      <c r="AE102" s="63"/>
      <c r="AF102" s="164">
        <f t="shared" si="34"/>
        <v>386560</v>
      </c>
      <c r="AG102" s="63">
        <v>1</v>
      </c>
      <c r="AH102" s="157">
        <f t="shared" si="41"/>
        <v>7</v>
      </c>
      <c r="AI102" s="157">
        <v>4.55</v>
      </c>
      <c r="AJ102" s="426">
        <f t="shared" si="32"/>
        <v>378560</v>
      </c>
      <c r="AK102" s="157">
        <v>8000</v>
      </c>
      <c r="AL102" s="63"/>
      <c r="AM102" s="164">
        <f t="shared" si="35"/>
        <v>386560</v>
      </c>
    </row>
    <row r="103" spans="1:39" s="4" customFormat="1" ht="25.5">
      <c r="A103" s="434">
        <v>89</v>
      </c>
      <c r="B103" s="423" t="s">
        <v>429</v>
      </c>
      <c r="C103" s="423" t="s">
        <v>821</v>
      </c>
      <c r="D103" s="423">
        <v>1982</v>
      </c>
      <c r="E103" s="423" t="s">
        <v>375</v>
      </c>
      <c r="F103" s="466" t="s">
        <v>726</v>
      </c>
      <c r="G103" s="63">
        <v>1</v>
      </c>
      <c r="H103" s="164">
        <v>1</v>
      </c>
      <c r="I103" s="419">
        <v>3.31</v>
      </c>
      <c r="J103" s="63">
        <f>+I103*83200</f>
        <v>275392</v>
      </c>
      <c r="K103" s="63">
        <v>8000</v>
      </c>
      <c r="L103" s="63"/>
      <c r="M103" s="164">
        <f>J103+K103+L103</f>
        <v>283392</v>
      </c>
      <c r="N103" s="63">
        <v>1</v>
      </c>
      <c r="O103" s="414">
        <v>0</v>
      </c>
      <c r="P103" s="419">
        <v>3.21</v>
      </c>
      <c r="Q103" s="157">
        <f>+P103*83200</f>
        <v>267072</v>
      </c>
      <c r="R103" s="157">
        <v>8000</v>
      </c>
      <c r="S103" s="63"/>
      <c r="T103" s="164">
        <f>Q103+R103+S103</f>
        <v>275072</v>
      </c>
      <c r="U103" s="63">
        <v>1</v>
      </c>
      <c r="V103" s="164">
        <f aca="true" t="shared" si="43" ref="V103:X106">J103-Q103</f>
        <v>8320</v>
      </c>
      <c r="W103" s="164">
        <f t="shared" si="43"/>
        <v>0</v>
      </c>
      <c r="X103" s="164">
        <f t="shared" si="43"/>
        <v>0</v>
      </c>
      <c r="Y103" s="164">
        <f>V103+W103+X103</f>
        <v>8320</v>
      </c>
      <c r="Z103" s="63">
        <v>1</v>
      </c>
      <c r="AA103" s="337">
        <v>2</v>
      </c>
      <c r="AB103" s="419">
        <v>3.42</v>
      </c>
      <c r="AC103" s="157">
        <f>+AB103*83200</f>
        <v>284544</v>
      </c>
      <c r="AD103" s="157">
        <v>8000</v>
      </c>
      <c r="AE103" s="63"/>
      <c r="AF103" s="164">
        <f>AC103+AD103+AE103</f>
        <v>292544</v>
      </c>
      <c r="AG103" s="63">
        <v>1</v>
      </c>
      <c r="AH103" s="157">
        <f>+AA103+1</f>
        <v>3</v>
      </c>
      <c r="AI103" s="157">
        <v>3.53</v>
      </c>
      <c r="AJ103" s="426">
        <f>+AI103*83200</f>
        <v>293696</v>
      </c>
      <c r="AK103" s="157">
        <v>8000</v>
      </c>
      <c r="AL103" s="63"/>
      <c r="AM103" s="164">
        <f>AJ103+AK103+AL103</f>
        <v>301696</v>
      </c>
    </row>
    <row r="104" spans="1:39" s="4" customFormat="1" ht="25.5">
      <c r="A104" s="429">
        <v>92</v>
      </c>
      <c r="B104" s="423" t="s">
        <v>426</v>
      </c>
      <c r="C104" s="423" t="s">
        <v>823</v>
      </c>
      <c r="D104" s="423">
        <v>1965</v>
      </c>
      <c r="E104" s="423" t="s">
        <v>375</v>
      </c>
      <c r="F104" s="466" t="s">
        <v>727</v>
      </c>
      <c r="G104" s="63">
        <v>1</v>
      </c>
      <c r="H104" s="164">
        <v>21</v>
      </c>
      <c r="I104" s="419">
        <v>4.4</v>
      </c>
      <c r="J104" s="63">
        <f>+I104*83200</f>
        <v>366080.00000000006</v>
      </c>
      <c r="K104" s="63">
        <v>8000</v>
      </c>
      <c r="L104" s="432">
        <v>0</v>
      </c>
      <c r="M104" s="164">
        <f>J104+K104+L104</f>
        <v>374080.00000000006</v>
      </c>
      <c r="N104" s="63">
        <v>1</v>
      </c>
      <c r="O104" s="414">
        <v>20</v>
      </c>
      <c r="P104" s="419">
        <v>4.4</v>
      </c>
      <c r="Q104" s="157">
        <f>+P104*83200</f>
        <v>366080.00000000006</v>
      </c>
      <c r="R104" s="157">
        <v>8000</v>
      </c>
      <c r="S104" s="432">
        <v>0</v>
      </c>
      <c r="T104" s="164">
        <f>Q104+R104+S104</f>
        <v>374080.00000000006</v>
      </c>
      <c r="U104" s="63">
        <v>1</v>
      </c>
      <c r="V104" s="164">
        <f t="shared" si="43"/>
        <v>0</v>
      </c>
      <c r="W104" s="164">
        <f t="shared" si="43"/>
        <v>0</v>
      </c>
      <c r="X104" s="164">
        <f t="shared" si="43"/>
        <v>0</v>
      </c>
      <c r="Y104" s="164">
        <f>V104+W104+X104</f>
        <v>0</v>
      </c>
      <c r="Z104" s="63">
        <v>1</v>
      </c>
      <c r="AA104" s="337">
        <v>22</v>
      </c>
      <c r="AB104" s="419">
        <v>4.4</v>
      </c>
      <c r="AC104" s="157">
        <f>+AB104*83200</f>
        <v>366080.00000000006</v>
      </c>
      <c r="AD104" s="157">
        <v>8000</v>
      </c>
      <c r="AE104" s="432">
        <v>0</v>
      </c>
      <c r="AF104" s="164">
        <f>AC104+AD104+AE104</f>
        <v>374080.00000000006</v>
      </c>
      <c r="AG104" s="63">
        <v>1</v>
      </c>
      <c r="AH104" s="157">
        <f>+AA104+1</f>
        <v>23</v>
      </c>
      <c r="AI104" s="157">
        <v>4.4</v>
      </c>
      <c r="AJ104" s="426">
        <f>+AI104*83200</f>
        <v>366080.00000000006</v>
      </c>
      <c r="AK104" s="157">
        <v>8000</v>
      </c>
      <c r="AL104" s="432">
        <f>+AJ104*5%</f>
        <v>18304.000000000004</v>
      </c>
      <c r="AM104" s="164">
        <f>AJ104+AK104+AL104</f>
        <v>392384.00000000006</v>
      </c>
    </row>
    <row r="105" spans="1:39" s="4" customFormat="1" ht="13.5">
      <c r="A105" s="434">
        <v>93</v>
      </c>
      <c r="B105" s="423" t="s">
        <v>427</v>
      </c>
      <c r="C105" s="423" t="s">
        <v>821</v>
      </c>
      <c r="D105" s="423">
        <v>1964</v>
      </c>
      <c r="E105" s="423" t="s">
        <v>376</v>
      </c>
      <c r="F105" s="466" t="s">
        <v>728</v>
      </c>
      <c r="G105" s="63">
        <v>1</v>
      </c>
      <c r="H105" s="164">
        <v>5</v>
      </c>
      <c r="I105" s="419">
        <v>1.95</v>
      </c>
      <c r="J105" s="63">
        <f>+I105*83200</f>
        <v>162240</v>
      </c>
      <c r="K105" s="63">
        <v>8000</v>
      </c>
      <c r="L105" s="432"/>
      <c r="M105" s="164">
        <f>J105+K105+L105</f>
        <v>170240</v>
      </c>
      <c r="N105" s="63">
        <v>1</v>
      </c>
      <c r="O105" s="414">
        <v>4</v>
      </c>
      <c r="P105" s="419">
        <v>1.95</v>
      </c>
      <c r="Q105" s="157">
        <f>+P105*83200</f>
        <v>162240</v>
      </c>
      <c r="R105" s="157">
        <v>8000</v>
      </c>
      <c r="S105" s="432"/>
      <c r="T105" s="164">
        <f>Q105+R105+S105</f>
        <v>170240</v>
      </c>
      <c r="U105" s="63">
        <v>1</v>
      </c>
      <c r="V105" s="164">
        <f t="shared" si="43"/>
        <v>0</v>
      </c>
      <c r="W105" s="164">
        <f t="shared" si="43"/>
        <v>0</v>
      </c>
      <c r="X105" s="164">
        <f t="shared" si="43"/>
        <v>0</v>
      </c>
      <c r="Y105" s="164">
        <f>V105+W105+X105</f>
        <v>0</v>
      </c>
      <c r="Z105" s="63">
        <v>1</v>
      </c>
      <c r="AA105" s="337">
        <v>6</v>
      </c>
      <c r="AB105" s="419">
        <v>1.95</v>
      </c>
      <c r="AC105" s="157">
        <f>+AB105*83200</f>
        <v>162240</v>
      </c>
      <c r="AD105" s="157">
        <v>8000</v>
      </c>
      <c r="AE105" s="432"/>
      <c r="AF105" s="164">
        <f>AC105+AD105+AE105</f>
        <v>170240</v>
      </c>
      <c r="AG105" s="63">
        <v>1</v>
      </c>
      <c r="AH105" s="157">
        <f>+AA105+1</f>
        <v>7</v>
      </c>
      <c r="AI105" s="157">
        <v>1.95</v>
      </c>
      <c r="AJ105" s="426">
        <f>+AI105*83200</f>
        <v>162240</v>
      </c>
      <c r="AK105" s="157">
        <v>8000</v>
      </c>
      <c r="AL105" s="432"/>
      <c r="AM105" s="164">
        <f>AJ105+AK105+AL105</f>
        <v>170240</v>
      </c>
    </row>
    <row r="106" spans="1:39" s="4" customFormat="1" ht="13.5">
      <c r="A106" s="429">
        <v>94</v>
      </c>
      <c r="B106" s="423" t="s">
        <v>428</v>
      </c>
      <c r="C106" s="423" t="s">
        <v>821</v>
      </c>
      <c r="D106" s="423">
        <v>1960</v>
      </c>
      <c r="E106" s="423" t="s">
        <v>376</v>
      </c>
      <c r="F106" s="466" t="s">
        <v>729</v>
      </c>
      <c r="G106" s="63">
        <v>1</v>
      </c>
      <c r="H106" s="164">
        <v>16</v>
      </c>
      <c r="I106" s="419">
        <v>1.9</v>
      </c>
      <c r="J106" s="63">
        <f>+I106*83200</f>
        <v>158080</v>
      </c>
      <c r="K106" s="63">
        <v>8000</v>
      </c>
      <c r="L106" s="432">
        <v>0</v>
      </c>
      <c r="M106" s="164">
        <f>J106+K106+L106</f>
        <v>166080</v>
      </c>
      <c r="N106" s="63">
        <v>1</v>
      </c>
      <c r="O106" s="414">
        <v>15</v>
      </c>
      <c r="P106" s="419">
        <v>1.84</v>
      </c>
      <c r="Q106" s="157">
        <f>+P106*83200</f>
        <v>153088</v>
      </c>
      <c r="R106" s="157">
        <v>8000</v>
      </c>
      <c r="S106" s="432">
        <v>0</v>
      </c>
      <c r="T106" s="164">
        <f>Q106+R106+S106</f>
        <v>161088</v>
      </c>
      <c r="U106" s="63">
        <v>1</v>
      </c>
      <c r="V106" s="164">
        <f t="shared" si="43"/>
        <v>4992</v>
      </c>
      <c r="W106" s="164">
        <f t="shared" si="43"/>
        <v>0</v>
      </c>
      <c r="X106" s="164">
        <f t="shared" si="43"/>
        <v>0</v>
      </c>
      <c r="Y106" s="164">
        <f>V106+W106+X106</f>
        <v>4992</v>
      </c>
      <c r="Z106" s="63">
        <v>1</v>
      </c>
      <c r="AA106" s="337">
        <v>17</v>
      </c>
      <c r="AB106" s="419">
        <v>1.9</v>
      </c>
      <c r="AC106" s="157">
        <f>+AB106*83200</f>
        <v>158080</v>
      </c>
      <c r="AD106" s="157">
        <v>8000</v>
      </c>
      <c r="AE106" s="432">
        <v>0</v>
      </c>
      <c r="AF106" s="164">
        <f>AC106+AD106+AE106</f>
        <v>166080</v>
      </c>
      <c r="AG106" s="63">
        <v>1</v>
      </c>
      <c r="AH106" s="157">
        <f>+AA106+1</f>
        <v>18</v>
      </c>
      <c r="AI106" s="157">
        <v>1.9</v>
      </c>
      <c r="AJ106" s="426">
        <f>+AI106*83200</f>
        <v>158080</v>
      </c>
      <c r="AK106" s="157">
        <v>8000</v>
      </c>
      <c r="AL106" s="432"/>
      <c r="AM106" s="164">
        <f>AJ106+AK106+AL106</f>
        <v>166080</v>
      </c>
    </row>
    <row r="107" spans="1:39" s="551" customFormat="1" ht="25.5">
      <c r="A107" s="542"/>
      <c r="B107" s="555" t="s">
        <v>422</v>
      </c>
      <c r="C107" s="555"/>
      <c r="D107" s="555"/>
      <c r="E107" s="555"/>
      <c r="F107" s="557"/>
      <c r="G107" s="546"/>
      <c r="H107" s="547"/>
      <c r="I107" s="548"/>
      <c r="J107" s="546"/>
      <c r="K107" s="546"/>
      <c r="L107" s="558"/>
      <c r="M107" s="547"/>
      <c r="N107" s="546"/>
      <c r="O107" s="547"/>
      <c r="P107" s="548"/>
      <c r="Q107" s="549"/>
      <c r="R107" s="549"/>
      <c r="S107" s="558"/>
      <c r="T107" s="547"/>
      <c r="U107" s="546"/>
      <c r="V107" s="547"/>
      <c r="W107" s="547"/>
      <c r="X107" s="547"/>
      <c r="Y107" s="547"/>
      <c r="Z107" s="546"/>
      <c r="AA107" s="549"/>
      <c r="AB107" s="548"/>
      <c r="AC107" s="549"/>
      <c r="AD107" s="549"/>
      <c r="AE107" s="558"/>
      <c r="AF107" s="547"/>
      <c r="AG107" s="546"/>
      <c r="AH107" s="549"/>
      <c r="AI107" s="549"/>
      <c r="AJ107" s="550"/>
      <c r="AK107" s="549"/>
      <c r="AL107" s="558"/>
      <c r="AM107" s="547"/>
    </row>
    <row r="108" spans="1:39" s="4" customFormat="1" ht="13.5">
      <c r="A108" s="434">
        <v>89</v>
      </c>
      <c r="B108" s="423" t="s">
        <v>484</v>
      </c>
      <c r="C108" s="423" t="s">
        <v>823</v>
      </c>
      <c r="D108" s="423">
        <v>1988</v>
      </c>
      <c r="E108" s="423" t="s">
        <v>591</v>
      </c>
      <c r="F108" s="466" t="s">
        <v>730</v>
      </c>
      <c r="G108" s="63">
        <v>1</v>
      </c>
      <c r="H108" s="164">
        <v>2</v>
      </c>
      <c r="I108" s="419">
        <v>3.42</v>
      </c>
      <c r="J108" s="63">
        <f t="shared" si="29"/>
        <v>284544</v>
      </c>
      <c r="K108" s="63">
        <v>8000</v>
      </c>
      <c r="L108" s="63"/>
      <c r="M108" s="164">
        <f t="shared" si="38"/>
        <v>292544</v>
      </c>
      <c r="N108" s="63">
        <v>1</v>
      </c>
      <c r="O108" s="414">
        <v>0</v>
      </c>
      <c r="P108" s="419">
        <v>3.42</v>
      </c>
      <c r="Q108" s="157">
        <f t="shared" si="30"/>
        <v>284544</v>
      </c>
      <c r="R108" s="157">
        <v>8000</v>
      </c>
      <c r="S108" s="63"/>
      <c r="T108" s="164">
        <f t="shared" si="33"/>
        <v>292544</v>
      </c>
      <c r="U108" s="63">
        <v>1</v>
      </c>
      <c r="V108" s="164">
        <f>J108-Q108</f>
        <v>0</v>
      </c>
      <c r="W108" s="164">
        <f>K108-R108</f>
        <v>0</v>
      </c>
      <c r="X108" s="164">
        <f>L108-S108</f>
        <v>0</v>
      </c>
      <c r="Y108" s="164">
        <f>V108+W108+X108</f>
        <v>0</v>
      </c>
      <c r="Z108" s="63">
        <v>1</v>
      </c>
      <c r="AA108" s="337">
        <v>3</v>
      </c>
      <c r="AB108" s="419">
        <v>3.53</v>
      </c>
      <c r="AC108" s="157">
        <f t="shared" si="31"/>
        <v>293696</v>
      </c>
      <c r="AD108" s="157">
        <v>8000</v>
      </c>
      <c r="AE108" s="63"/>
      <c r="AF108" s="164">
        <f t="shared" si="34"/>
        <v>301696</v>
      </c>
      <c r="AG108" s="63">
        <v>1</v>
      </c>
      <c r="AH108" s="157">
        <f>+AA108+1</f>
        <v>4</v>
      </c>
      <c r="AI108" s="157">
        <v>3.64</v>
      </c>
      <c r="AJ108" s="426">
        <f t="shared" si="32"/>
        <v>302848</v>
      </c>
      <c r="AK108" s="157">
        <v>8000</v>
      </c>
      <c r="AL108" s="63"/>
      <c r="AM108" s="164">
        <f t="shared" si="35"/>
        <v>310848</v>
      </c>
    </row>
    <row r="109" spans="1:39" s="4" customFormat="1" ht="51">
      <c r="A109" s="429">
        <v>90</v>
      </c>
      <c r="B109" s="423" t="s">
        <v>425</v>
      </c>
      <c r="C109" s="423" t="s">
        <v>823</v>
      </c>
      <c r="D109" s="423">
        <v>1989</v>
      </c>
      <c r="E109" s="472" t="s">
        <v>424</v>
      </c>
      <c r="F109" s="466" t="s">
        <v>731</v>
      </c>
      <c r="G109" s="63">
        <v>1</v>
      </c>
      <c r="H109" s="164">
        <v>3</v>
      </c>
      <c r="I109" s="419">
        <v>3.53</v>
      </c>
      <c r="J109" s="63">
        <f t="shared" si="29"/>
        <v>293696</v>
      </c>
      <c r="K109" s="63">
        <v>8000</v>
      </c>
      <c r="L109" s="432">
        <v>0</v>
      </c>
      <c r="M109" s="164">
        <f t="shared" si="38"/>
        <v>301696</v>
      </c>
      <c r="N109" s="63">
        <v>1</v>
      </c>
      <c r="O109" s="414">
        <v>2</v>
      </c>
      <c r="P109" s="419">
        <v>3.42</v>
      </c>
      <c r="Q109" s="157">
        <f t="shared" si="30"/>
        <v>284544</v>
      </c>
      <c r="R109" s="157">
        <v>8000</v>
      </c>
      <c r="S109" s="432">
        <v>0</v>
      </c>
      <c r="T109" s="164">
        <f t="shared" si="33"/>
        <v>292544</v>
      </c>
      <c r="U109" s="63">
        <v>1</v>
      </c>
      <c r="V109" s="164">
        <f t="shared" si="40"/>
        <v>9152</v>
      </c>
      <c r="W109" s="164">
        <f t="shared" si="40"/>
        <v>0</v>
      </c>
      <c r="X109" s="164">
        <f t="shared" si="40"/>
        <v>0</v>
      </c>
      <c r="Y109" s="164">
        <f t="shared" si="36"/>
        <v>9152</v>
      </c>
      <c r="Z109" s="63">
        <v>1</v>
      </c>
      <c r="AA109" s="337">
        <v>4</v>
      </c>
      <c r="AB109" s="419">
        <v>3.64</v>
      </c>
      <c r="AC109" s="157">
        <f t="shared" si="31"/>
        <v>302848</v>
      </c>
      <c r="AD109" s="157">
        <v>8000</v>
      </c>
      <c r="AE109" s="432">
        <v>0</v>
      </c>
      <c r="AF109" s="164">
        <f t="shared" si="34"/>
        <v>310848</v>
      </c>
      <c r="AG109" s="63">
        <v>1</v>
      </c>
      <c r="AH109" s="157">
        <f t="shared" si="41"/>
        <v>5</v>
      </c>
      <c r="AI109" s="157">
        <v>3.64</v>
      </c>
      <c r="AJ109" s="426">
        <f t="shared" si="32"/>
        <v>302848</v>
      </c>
      <c r="AK109" s="157">
        <v>8000</v>
      </c>
      <c r="AL109" s="432">
        <v>0</v>
      </c>
      <c r="AM109" s="164">
        <f t="shared" si="35"/>
        <v>310848</v>
      </c>
    </row>
    <row r="110" spans="1:39" s="464" customFormat="1" ht="25.5">
      <c r="A110" s="429">
        <v>91</v>
      </c>
      <c r="B110" s="423" t="s">
        <v>360</v>
      </c>
      <c r="C110" s="423"/>
      <c r="D110" s="423"/>
      <c r="E110" s="473" t="s">
        <v>372</v>
      </c>
      <c r="F110" s="474" t="s">
        <v>732</v>
      </c>
      <c r="G110" s="459">
        <v>1</v>
      </c>
      <c r="H110" s="460">
        <v>7</v>
      </c>
      <c r="I110" s="461">
        <v>1.96</v>
      </c>
      <c r="J110" s="63">
        <f t="shared" si="29"/>
        <v>163072</v>
      </c>
      <c r="K110" s="459">
        <v>8000</v>
      </c>
      <c r="L110" s="462"/>
      <c r="M110" s="164">
        <f t="shared" si="38"/>
        <v>171072</v>
      </c>
      <c r="N110" s="459">
        <v>1</v>
      </c>
      <c r="O110" s="460">
        <v>6</v>
      </c>
      <c r="P110" s="461">
        <v>1.96</v>
      </c>
      <c r="Q110" s="157">
        <f t="shared" si="30"/>
        <v>163072</v>
      </c>
      <c r="R110" s="157">
        <v>8000</v>
      </c>
      <c r="S110" s="462"/>
      <c r="T110" s="164">
        <f t="shared" si="33"/>
        <v>171072</v>
      </c>
      <c r="U110" s="459">
        <v>1</v>
      </c>
      <c r="V110" s="460">
        <f t="shared" si="40"/>
        <v>0</v>
      </c>
      <c r="W110" s="460">
        <f t="shared" si="40"/>
        <v>0</v>
      </c>
      <c r="X110" s="460">
        <f t="shared" si="40"/>
        <v>0</v>
      </c>
      <c r="Y110" s="460">
        <f t="shared" si="36"/>
        <v>0</v>
      </c>
      <c r="Z110" s="459">
        <v>1</v>
      </c>
      <c r="AA110" s="463">
        <v>8</v>
      </c>
      <c r="AB110" s="461">
        <v>2.02</v>
      </c>
      <c r="AC110" s="157">
        <f t="shared" si="31"/>
        <v>168064</v>
      </c>
      <c r="AD110" s="157">
        <v>8000</v>
      </c>
      <c r="AE110" s="462"/>
      <c r="AF110" s="164">
        <f t="shared" si="34"/>
        <v>176064</v>
      </c>
      <c r="AG110" s="459">
        <v>1</v>
      </c>
      <c r="AH110" s="463">
        <v>9</v>
      </c>
      <c r="AI110" s="463">
        <v>2.02</v>
      </c>
      <c r="AJ110" s="426">
        <f t="shared" si="32"/>
        <v>168064</v>
      </c>
      <c r="AK110" s="463">
        <v>8000</v>
      </c>
      <c r="AL110" s="462"/>
      <c r="AM110" s="164">
        <f t="shared" si="35"/>
        <v>176064</v>
      </c>
    </row>
    <row r="111" spans="1:39" s="551" customFormat="1" ht="25.5">
      <c r="A111" s="542">
        <v>116</v>
      </c>
      <c r="B111" s="555" t="s">
        <v>592</v>
      </c>
      <c r="C111" s="555"/>
      <c r="D111" s="555"/>
      <c r="E111" s="544"/>
      <c r="F111" s="545"/>
      <c r="G111" s="546"/>
      <c r="H111" s="547"/>
      <c r="I111" s="548"/>
      <c r="J111" s="546">
        <f>+I111*83200</f>
        <v>0</v>
      </c>
      <c r="K111" s="546"/>
      <c r="L111" s="546"/>
      <c r="M111" s="547">
        <f>J111+K111+L111</f>
        <v>0</v>
      </c>
      <c r="N111" s="546"/>
      <c r="O111" s="547"/>
      <c r="P111" s="548"/>
      <c r="Q111" s="549">
        <f>+P111*83200</f>
        <v>0</v>
      </c>
      <c r="R111" s="546"/>
      <c r="S111" s="546"/>
      <c r="T111" s="547">
        <f>Q111+R111+S111</f>
        <v>0</v>
      </c>
      <c r="U111" s="546"/>
      <c r="V111" s="547">
        <f aca="true" t="shared" si="44" ref="V111:X115">J111-Q111</f>
        <v>0</v>
      </c>
      <c r="W111" s="547">
        <f t="shared" si="44"/>
        <v>0</v>
      </c>
      <c r="X111" s="547">
        <f t="shared" si="44"/>
        <v>0</v>
      </c>
      <c r="Y111" s="547">
        <f>V111+W111+X111</f>
        <v>0</v>
      </c>
      <c r="Z111" s="546"/>
      <c r="AA111" s="549"/>
      <c r="AB111" s="548"/>
      <c r="AC111" s="549">
        <f>+AB111*83200</f>
        <v>0</v>
      </c>
      <c r="AD111" s="546"/>
      <c r="AE111" s="546"/>
      <c r="AF111" s="547">
        <f>AC111+AD111+AE111</f>
        <v>0</v>
      </c>
      <c r="AG111" s="546"/>
      <c r="AH111" s="549"/>
      <c r="AI111" s="549"/>
      <c r="AJ111" s="550">
        <f>+AI111*83200</f>
        <v>0</v>
      </c>
      <c r="AK111" s="549"/>
      <c r="AL111" s="546"/>
      <c r="AM111" s="547">
        <f>AJ111+AK111+AL111</f>
        <v>0</v>
      </c>
    </row>
    <row r="112" spans="1:39" s="464" customFormat="1" ht="13.5">
      <c r="A112" s="434">
        <v>117</v>
      </c>
      <c r="B112" s="423" t="s">
        <v>440</v>
      </c>
      <c r="C112" s="423" t="s">
        <v>821</v>
      </c>
      <c r="D112" s="423">
        <v>1965</v>
      </c>
      <c r="E112" s="458" t="s">
        <v>370</v>
      </c>
      <c r="F112" s="474" t="s">
        <v>733</v>
      </c>
      <c r="G112" s="459">
        <v>1</v>
      </c>
      <c r="H112" s="460">
        <v>4</v>
      </c>
      <c r="I112" s="461">
        <v>4.01</v>
      </c>
      <c r="J112" s="63">
        <f>+I112*83200</f>
        <v>333632</v>
      </c>
      <c r="K112" s="459">
        <v>8000</v>
      </c>
      <c r="L112" s="462"/>
      <c r="M112" s="164">
        <f>J112+K112+L112</f>
        <v>341632</v>
      </c>
      <c r="N112" s="459">
        <v>1</v>
      </c>
      <c r="O112" s="460">
        <v>3</v>
      </c>
      <c r="P112" s="461">
        <v>4.01</v>
      </c>
      <c r="Q112" s="157">
        <f>+P112*83200</f>
        <v>333632</v>
      </c>
      <c r="R112" s="157">
        <v>8000</v>
      </c>
      <c r="S112" s="462"/>
      <c r="T112" s="164">
        <f>Q112+R112+S112</f>
        <v>341632</v>
      </c>
      <c r="U112" s="459">
        <v>1</v>
      </c>
      <c r="V112" s="460">
        <f t="shared" si="44"/>
        <v>0</v>
      </c>
      <c r="W112" s="460">
        <f t="shared" si="44"/>
        <v>0</v>
      </c>
      <c r="X112" s="460">
        <f t="shared" si="44"/>
        <v>0</v>
      </c>
      <c r="Y112" s="460">
        <f>V112+W112+X112</f>
        <v>0</v>
      </c>
      <c r="Z112" s="459">
        <v>1</v>
      </c>
      <c r="AA112" s="463">
        <v>5</v>
      </c>
      <c r="AB112" s="461">
        <v>4.01</v>
      </c>
      <c r="AC112" s="157">
        <f>+AB112*83200</f>
        <v>333632</v>
      </c>
      <c r="AD112" s="157">
        <v>8000</v>
      </c>
      <c r="AE112" s="462"/>
      <c r="AF112" s="164">
        <f>AC112+AD112+AE112</f>
        <v>341632</v>
      </c>
      <c r="AG112" s="459">
        <v>1</v>
      </c>
      <c r="AH112" s="463">
        <v>6</v>
      </c>
      <c r="AI112" s="463">
        <v>4.01</v>
      </c>
      <c r="AJ112" s="426">
        <f>+AI112*83200</f>
        <v>333632</v>
      </c>
      <c r="AK112" s="463">
        <v>8000</v>
      </c>
      <c r="AL112" s="462"/>
      <c r="AM112" s="164">
        <f>AJ112+AK112+AL112</f>
        <v>341632</v>
      </c>
    </row>
    <row r="113" spans="1:39" s="4" customFormat="1" ht="25.5">
      <c r="A113" s="434">
        <v>119</v>
      </c>
      <c r="B113" s="423" t="s">
        <v>441</v>
      </c>
      <c r="C113" s="423" t="s">
        <v>823</v>
      </c>
      <c r="D113" s="423">
        <v>1990</v>
      </c>
      <c r="E113" s="423" t="s">
        <v>392</v>
      </c>
      <c r="F113" s="466" t="s">
        <v>734</v>
      </c>
      <c r="G113" s="63">
        <v>1</v>
      </c>
      <c r="H113" s="164">
        <v>9</v>
      </c>
      <c r="I113" s="419">
        <v>2.75</v>
      </c>
      <c r="J113" s="63">
        <f>+I113*83200</f>
        <v>228800</v>
      </c>
      <c r="K113" s="63">
        <v>8000</v>
      </c>
      <c r="L113" s="432">
        <v>0</v>
      </c>
      <c r="M113" s="164">
        <f>J113+K113+L113</f>
        <v>236800</v>
      </c>
      <c r="N113" s="63">
        <v>1</v>
      </c>
      <c r="O113" s="414">
        <v>8</v>
      </c>
      <c r="P113" s="419">
        <v>2.75</v>
      </c>
      <c r="Q113" s="157">
        <f>+P113*83200</f>
        <v>228800</v>
      </c>
      <c r="R113" s="157">
        <v>8000</v>
      </c>
      <c r="S113" s="432">
        <v>0</v>
      </c>
      <c r="T113" s="164">
        <f>Q113+R113+S113</f>
        <v>236800</v>
      </c>
      <c r="U113" s="63">
        <v>1</v>
      </c>
      <c r="V113" s="164">
        <f t="shared" si="44"/>
        <v>0</v>
      </c>
      <c r="W113" s="164">
        <f t="shared" si="44"/>
        <v>0</v>
      </c>
      <c r="X113" s="164">
        <f t="shared" si="44"/>
        <v>0</v>
      </c>
      <c r="Y113" s="164">
        <f>V113+W113+X113</f>
        <v>0</v>
      </c>
      <c r="Z113" s="63">
        <v>1</v>
      </c>
      <c r="AA113" s="337">
        <v>10</v>
      </c>
      <c r="AB113" s="419">
        <v>2.83</v>
      </c>
      <c r="AC113" s="157">
        <f>+AB113*83200</f>
        <v>235456</v>
      </c>
      <c r="AD113" s="157">
        <v>8000</v>
      </c>
      <c r="AE113" s="432">
        <v>0</v>
      </c>
      <c r="AF113" s="164">
        <f>AC113+AD113+AE113</f>
        <v>243456</v>
      </c>
      <c r="AG113" s="63">
        <v>1</v>
      </c>
      <c r="AH113" s="157">
        <f>+AA113+1</f>
        <v>11</v>
      </c>
      <c r="AI113" s="157">
        <v>2.83</v>
      </c>
      <c r="AJ113" s="426">
        <f>+AI113*83200</f>
        <v>235456</v>
      </c>
      <c r="AK113" s="157">
        <v>8000</v>
      </c>
      <c r="AL113" s="432">
        <v>0</v>
      </c>
      <c r="AM113" s="164">
        <f>AJ113+AK113+AL113</f>
        <v>243456</v>
      </c>
    </row>
    <row r="114" spans="1:39" s="4" customFormat="1" ht="25.5">
      <c r="A114" s="434">
        <v>121</v>
      </c>
      <c r="B114" s="423" t="s">
        <v>442</v>
      </c>
      <c r="C114" s="423" t="s">
        <v>823</v>
      </c>
      <c r="D114" s="423">
        <v>1960</v>
      </c>
      <c r="E114" s="423" t="s">
        <v>376</v>
      </c>
      <c r="F114" s="466" t="s">
        <v>443</v>
      </c>
      <c r="G114" s="63">
        <v>1</v>
      </c>
      <c r="H114" s="164">
        <v>15</v>
      </c>
      <c r="I114" s="419">
        <v>2.14</v>
      </c>
      <c r="J114" s="63">
        <f>+I114*83200</f>
        <v>178048</v>
      </c>
      <c r="K114" s="63">
        <v>8000</v>
      </c>
      <c r="L114" s="432">
        <v>0</v>
      </c>
      <c r="M114" s="164">
        <f>J114+K114+L114</f>
        <v>186048</v>
      </c>
      <c r="N114" s="63">
        <v>1</v>
      </c>
      <c r="O114" s="414">
        <v>14</v>
      </c>
      <c r="P114" s="419">
        <v>2.14</v>
      </c>
      <c r="Q114" s="157">
        <f>+P114*83200</f>
        <v>178048</v>
      </c>
      <c r="R114" s="157">
        <v>8000</v>
      </c>
      <c r="S114" s="432">
        <v>0</v>
      </c>
      <c r="T114" s="164">
        <f>Q114+R114+S114</f>
        <v>186048</v>
      </c>
      <c r="U114" s="63">
        <v>1</v>
      </c>
      <c r="V114" s="164">
        <f t="shared" si="44"/>
        <v>0</v>
      </c>
      <c r="W114" s="164">
        <f t="shared" si="44"/>
        <v>0</v>
      </c>
      <c r="X114" s="164">
        <f t="shared" si="44"/>
        <v>0</v>
      </c>
      <c r="Y114" s="164">
        <f>V114+W114+X114</f>
        <v>0</v>
      </c>
      <c r="Z114" s="63">
        <v>1</v>
      </c>
      <c r="AA114" s="337">
        <v>16</v>
      </c>
      <c r="AB114" s="419">
        <v>2.21</v>
      </c>
      <c r="AC114" s="157">
        <f>+AB114*83200</f>
        <v>183872</v>
      </c>
      <c r="AD114" s="157">
        <v>8000</v>
      </c>
      <c r="AE114" s="432">
        <v>0</v>
      </c>
      <c r="AF114" s="164">
        <f>AC114+AD114+AE114</f>
        <v>191872</v>
      </c>
      <c r="AG114" s="63">
        <v>1</v>
      </c>
      <c r="AH114" s="157">
        <f>+AA114+1</f>
        <v>17</v>
      </c>
      <c r="AI114" s="157">
        <v>2.21</v>
      </c>
      <c r="AJ114" s="426">
        <f>+AI114*83200</f>
        <v>183872</v>
      </c>
      <c r="AK114" s="157">
        <v>8000</v>
      </c>
      <c r="AL114" s="432">
        <v>0</v>
      </c>
      <c r="AM114" s="164">
        <f>AJ114+AK114+AL114</f>
        <v>191872</v>
      </c>
    </row>
    <row r="115" spans="1:39" s="4" customFormat="1" ht="25.5">
      <c r="A115" s="434">
        <v>125</v>
      </c>
      <c r="B115" s="423" t="s">
        <v>444</v>
      </c>
      <c r="C115" s="423" t="s">
        <v>823</v>
      </c>
      <c r="D115" s="423">
        <v>1990</v>
      </c>
      <c r="E115" s="430" t="s">
        <v>392</v>
      </c>
      <c r="F115" s="466" t="s">
        <v>735</v>
      </c>
      <c r="G115" s="63">
        <v>1</v>
      </c>
      <c r="H115" s="164">
        <v>4</v>
      </c>
      <c r="I115" s="419">
        <v>2.21</v>
      </c>
      <c r="J115" s="63">
        <f>+I115*83200</f>
        <v>183872</v>
      </c>
      <c r="K115" s="63">
        <v>8000</v>
      </c>
      <c r="L115" s="432"/>
      <c r="M115" s="164">
        <f>J115+K115+L115</f>
        <v>191872</v>
      </c>
      <c r="N115" s="63">
        <v>1</v>
      </c>
      <c r="O115" s="414">
        <v>3</v>
      </c>
      <c r="P115" s="419">
        <v>2.15</v>
      </c>
      <c r="Q115" s="157">
        <f>+P115*83200</f>
        <v>178880</v>
      </c>
      <c r="R115" s="157">
        <v>8000</v>
      </c>
      <c r="S115" s="432"/>
      <c r="T115" s="164">
        <f>Q115+R115+S115</f>
        <v>186880</v>
      </c>
      <c r="U115" s="63">
        <v>1</v>
      </c>
      <c r="V115" s="164">
        <f t="shared" si="44"/>
        <v>4992</v>
      </c>
      <c r="W115" s="164">
        <f t="shared" si="44"/>
        <v>0</v>
      </c>
      <c r="X115" s="164">
        <f t="shared" si="44"/>
        <v>0</v>
      </c>
      <c r="Y115" s="164">
        <f>V115+W115+X115</f>
        <v>4992</v>
      </c>
      <c r="Z115" s="63">
        <v>1</v>
      </c>
      <c r="AA115" s="337">
        <v>5</v>
      </c>
      <c r="AB115" s="419">
        <v>2.21</v>
      </c>
      <c r="AC115" s="157">
        <f>+AB115*83200</f>
        <v>183872</v>
      </c>
      <c r="AD115" s="157">
        <v>8000</v>
      </c>
      <c r="AE115" s="432"/>
      <c r="AF115" s="164">
        <f>AC115+AD115+AE115</f>
        <v>191872</v>
      </c>
      <c r="AG115" s="63">
        <v>1</v>
      </c>
      <c r="AH115" s="157">
        <f>+AA115+1</f>
        <v>6</v>
      </c>
      <c r="AI115" s="157">
        <v>2.28</v>
      </c>
      <c r="AJ115" s="426">
        <f>+AI115*83200</f>
        <v>189695.99999999997</v>
      </c>
      <c r="AK115" s="157">
        <v>8000</v>
      </c>
      <c r="AL115" s="432"/>
      <c r="AM115" s="164">
        <f>AJ115+AK115+AL115</f>
        <v>197695.99999999997</v>
      </c>
    </row>
    <row r="116" spans="1:39" s="551" customFormat="1" ht="13.5">
      <c r="A116" s="542">
        <v>96</v>
      </c>
      <c r="B116" s="555" t="s">
        <v>430</v>
      </c>
      <c r="C116" s="555"/>
      <c r="D116" s="555"/>
      <c r="E116" s="544"/>
      <c r="F116" s="545"/>
      <c r="G116" s="546"/>
      <c r="H116" s="547"/>
      <c r="I116" s="548"/>
      <c r="J116" s="546">
        <f aca="true" t="shared" si="45" ref="J116:J124">+I116*83200</f>
        <v>0</v>
      </c>
      <c r="K116" s="546"/>
      <c r="L116" s="558">
        <f>+J116*5%</f>
        <v>0</v>
      </c>
      <c r="M116" s="547">
        <f t="shared" si="38"/>
        <v>0</v>
      </c>
      <c r="N116" s="546"/>
      <c r="O116" s="547"/>
      <c r="P116" s="548"/>
      <c r="Q116" s="549">
        <f aca="true" t="shared" si="46" ref="Q116:Q124">+P116*83200</f>
        <v>0</v>
      </c>
      <c r="R116" s="546"/>
      <c r="S116" s="558">
        <f>+Q116*5%</f>
        <v>0</v>
      </c>
      <c r="T116" s="547">
        <f t="shared" si="33"/>
        <v>0</v>
      </c>
      <c r="U116" s="546"/>
      <c r="V116" s="547">
        <f aca="true" t="shared" si="47" ref="V116:X124">J116-Q116</f>
        <v>0</v>
      </c>
      <c r="W116" s="547">
        <f t="shared" si="47"/>
        <v>0</v>
      </c>
      <c r="X116" s="547">
        <f t="shared" si="47"/>
        <v>0</v>
      </c>
      <c r="Y116" s="547">
        <f aca="true" t="shared" si="48" ref="Y116:Y124">V116+W116+X116</f>
        <v>0</v>
      </c>
      <c r="Z116" s="546"/>
      <c r="AA116" s="549"/>
      <c r="AB116" s="548"/>
      <c r="AC116" s="549">
        <f aca="true" t="shared" si="49" ref="AC116:AC124">+AB116*83200</f>
        <v>0</v>
      </c>
      <c r="AD116" s="546"/>
      <c r="AE116" s="558">
        <f>+AC116*5%</f>
        <v>0</v>
      </c>
      <c r="AF116" s="547">
        <f t="shared" si="34"/>
        <v>0</v>
      </c>
      <c r="AG116" s="546"/>
      <c r="AH116" s="549"/>
      <c r="AI116" s="549"/>
      <c r="AJ116" s="550">
        <f aca="true" t="shared" si="50" ref="AJ116:AJ124">+AI116*83200</f>
        <v>0</v>
      </c>
      <c r="AK116" s="549"/>
      <c r="AL116" s="558"/>
      <c r="AM116" s="547">
        <f t="shared" si="35"/>
        <v>0</v>
      </c>
    </row>
    <row r="117" spans="1:39" s="406" customFormat="1" ht="13.5">
      <c r="A117" s="434">
        <v>97</v>
      </c>
      <c r="B117" s="423" t="s">
        <v>360</v>
      </c>
      <c r="C117" s="423"/>
      <c r="D117" s="423"/>
      <c r="E117" s="415" t="s">
        <v>431</v>
      </c>
      <c r="F117" s="436" t="s">
        <v>736</v>
      </c>
      <c r="G117" s="444">
        <v>1</v>
      </c>
      <c r="H117" s="414">
        <v>7</v>
      </c>
      <c r="I117" s="445">
        <v>4.55</v>
      </c>
      <c r="J117" s="63">
        <f t="shared" si="45"/>
        <v>378560</v>
      </c>
      <c r="K117" s="444">
        <v>8000</v>
      </c>
      <c r="L117" s="432">
        <v>0</v>
      </c>
      <c r="M117" s="164">
        <f t="shared" si="38"/>
        <v>386560</v>
      </c>
      <c r="N117" s="444">
        <v>1</v>
      </c>
      <c r="O117" s="414">
        <v>6</v>
      </c>
      <c r="P117" s="445">
        <v>4.55</v>
      </c>
      <c r="Q117" s="157">
        <f t="shared" si="46"/>
        <v>378560</v>
      </c>
      <c r="R117" s="337">
        <v>8000</v>
      </c>
      <c r="S117" s="432">
        <v>0</v>
      </c>
      <c r="T117" s="164">
        <f t="shared" si="33"/>
        <v>386560</v>
      </c>
      <c r="U117" s="444">
        <v>1</v>
      </c>
      <c r="V117" s="414">
        <f t="shared" si="47"/>
        <v>0</v>
      </c>
      <c r="W117" s="414">
        <f t="shared" si="47"/>
        <v>0</v>
      </c>
      <c r="X117" s="414">
        <f t="shared" si="47"/>
        <v>0</v>
      </c>
      <c r="Y117" s="414">
        <f t="shared" si="48"/>
        <v>0</v>
      </c>
      <c r="Z117" s="444">
        <v>1</v>
      </c>
      <c r="AA117" s="337">
        <v>8</v>
      </c>
      <c r="AB117" s="445">
        <v>4.7</v>
      </c>
      <c r="AC117" s="157">
        <f t="shared" si="49"/>
        <v>391040</v>
      </c>
      <c r="AD117" s="337">
        <v>8000</v>
      </c>
      <c r="AE117" s="432">
        <v>0</v>
      </c>
      <c r="AF117" s="164">
        <f t="shared" si="34"/>
        <v>399040</v>
      </c>
      <c r="AG117" s="444">
        <v>1</v>
      </c>
      <c r="AH117" s="157">
        <f>+AA117+1</f>
        <v>9</v>
      </c>
      <c r="AI117" s="337">
        <v>7.7</v>
      </c>
      <c r="AJ117" s="426">
        <f t="shared" si="50"/>
        <v>640640</v>
      </c>
      <c r="AK117" s="337">
        <v>8000</v>
      </c>
      <c r="AL117" s="432">
        <v>0</v>
      </c>
      <c r="AM117" s="164">
        <f t="shared" si="35"/>
        <v>648640</v>
      </c>
    </row>
    <row r="118" spans="1:39" s="4" customFormat="1" ht="25.5">
      <c r="A118" s="429">
        <v>98</v>
      </c>
      <c r="B118" s="423" t="s">
        <v>432</v>
      </c>
      <c r="C118" s="423" t="s">
        <v>821</v>
      </c>
      <c r="D118" s="423">
        <v>1980</v>
      </c>
      <c r="E118" s="430" t="s">
        <v>392</v>
      </c>
      <c r="F118" s="433" t="s">
        <v>737</v>
      </c>
      <c r="G118" s="63">
        <v>1</v>
      </c>
      <c r="H118" s="164">
        <v>14</v>
      </c>
      <c r="I118" s="419">
        <v>3.42</v>
      </c>
      <c r="J118" s="63">
        <f t="shared" si="45"/>
        <v>284544</v>
      </c>
      <c r="K118" s="63">
        <v>8000</v>
      </c>
      <c r="L118" s="432">
        <f>+J118*5%</f>
        <v>14227.2</v>
      </c>
      <c r="M118" s="164">
        <f t="shared" si="38"/>
        <v>306771.2</v>
      </c>
      <c r="N118" s="63">
        <v>1</v>
      </c>
      <c r="O118" s="414">
        <v>13</v>
      </c>
      <c r="P118" s="419">
        <v>3.42</v>
      </c>
      <c r="Q118" s="157">
        <f t="shared" si="46"/>
        <v>284544</v>
      </c>
      <c r="R118" s="157">
        <v>8000</v>
      </c>
      <c r="S118" s="432">
        <f>+Q118*5%</f>
        <v>14227.2</v>
      </c>
      <c r="T118" s="164">
        <f t="shared" si="33"/>
        <v>306771.2</v>
      </c>
      <c r="U118" s="63">
        <v>1</v>
      </c>
      <c r="V118" s="164">
        <f t="shared" si="47"/>
        <v>0</v>
      </c>
      <c r="W118" s="164">
        <f t="shared" si="47"/>
        <v>0</v>
      </c>
      <c r="X118" s="164">
        <f t="shared" si="47"/>
        <v>0</v>
      </c>
      <c r="Y118" s="164">
        <f t="shared" si="48"/>
        <v>0</v>
      </c>
      <c r="Z118" s="63">
        <v>1</v>
      </c>
      <c r="AA118" s="337">
        <v>15</v>
      </c>
      <c r="AB118" s="419">
        <v>3.42</v>
      </c>
      <c r="AC118" s="157">
        <f t="shared" si="49"/>
        <v>284544</v>
      </c>
      <c r="AD118" s="157">
        <v>8000</v>
      </c>
      <c r="AE118" s="432">
        <f>+AC118*5%</f>
        <v>14227.2</v>
      </c>
      <c r="AF118" s="164">
        <f t="shared" si="34"/>
        <v>306771.2</v>
      </c>
      <c r="AG118" s="63">
        <v>1</v>
      </c>
      <c r="AH118" s="157">
        <f>+AA118+1</f>
        <v>16</v>
      </c>
      <c r="AI118" s="157">
        <v>3.53</v>
      </c>
      <c r="AJ118" s="426">
        <f t="shared" si="50"/>
        <v>293696</v>
      </c>
      <c r="AK118" s="157">
        <v>8000</v>
      </c>
      <c r="AL118" s="432">
        <f>+AJ118*5%</f>
        <v>14684.800000000001</v>
      </c>
      <c r="AM118" s="164">
        <f t="shared" si="35"/>
        <v>316380.8</v>
      </c>
    </row>
    <row r="119" spans="1:39" s="4" customFormat="1" ht="13.5">
      <c r="A119" s="429"/>
      <c r="B119" s="540" t="s">
        <v>593</v>
      </c>
      <c r="C119" s="540"/>
      <c r="D119" s="540"/>
      <c r="E119" s="430" t="s">
        <v>360</v>
      </c>
      <c r="F119" s="430" t="s">
        <v>602</v>
      </c>
      <c r="G119" s="63">
        <v>1</v>
      </c>
      <c r="H119" s="164">
        <v>7</v>
      </c>
      <c r="I119" s="419">
        <v>1.96</v>
      </c>
      <c r="J119" s="63">
        <f t="shared" si="45"/>
        <v>163072</v>
      </c>
      <c r="K119" s="63">
        <v>8000</v>
      </c>
      <c r="L119" s="432"/>
      <c r="M119" s="164">
        <f>J119+K119+L119</f>
        <v>171072</v>
      </c>
      <c r="N119" s="63">
        <v>1</v>
      </c>
      <c r="O119" s="414">
        <v>6</v>
      </c>
      <c r="P119" s="419">
        <v>1.96</v>
      </c>
      <c r="Q119" s="157">
        <f t="shared" si="46"/>
        <v>163072</v>
      </c>
      <c r="R119" s="157">
        <v>8000</v>
      </c>
      <c r="S119" s="432"/>
      <c r="T119" s="164">
        <f t="shared" si="33"/>
        <v>171072</v>
      </c>
      <c r="U119" s="63">
        <v>1</v>
      </c>
      <c r="V119" s="164">
        <f t="shared" si="47"/>
        <v>0</v>
      </c>
      <c r="W119" s="164">
        <f t="shared" si="47"/>
        <v>0</v>
      </c>
      <c r="X119" s="164"/>
      <c r="Y119" s="164"/>
      <c r="Z119" s="63">
        <v>1</v>
      </c>
      <c r="AA119" s="337">
        <v>8</v>
      </c>
      <c r="AB119" s="419">
        <v>2.02</v>
      </c>
      <c r="AC119" s="157">
        <f t="shared" si="49"/>
        <v>168064</v>
      </c>
      <c r="AD119" s="157">
        <v>8000</v>
      </c>
      <c r="AE119" s="432"/>
      <c r="AF119" s="164">
        <f t="shared" si="34"/>
        <v>176064</v>
      </c>
      <c r="AG119" s="63">
        <v>1</v>
      </c>
      <c r="AH119" s="157">
        <f>+AA119+1</f>
        <v>9</v>
      </c>
      <c r="AI119" s="157">
        <v>2.02</v>
      </c>
      <c r="AJ119" s="426">
        <f t="shared" si="50"/>
        <v>168064</v>
      </c>
      <c r="AK119" s="157">
        <v>8000</v>
      </c>
      <c r="AL119" s="432"/>
      <c r="AM119" s="164">
        <f t="shared" si="35"/>
        <v>176064</v>
      </c>
    </row>
    <row r="120" spans="1:39" s="551" customFormat="1" ht="25.5">
      <c r="A120" s="559">
        <v>111</v>
      </c>
      <c r="B120" s="555" t="s">
        <v>594</v>
      </c>
      <c r="C120" s="555"/>
      <c r="D120" s="555"/>
      <c r="E120" s="555"/>
      <c r="F120" s="557"/>
      <c r="G120" s="546"/>
      <c r="H120" s="547"/>
      <c r="I120" s="548"/>
      <c r="J120" s="546">
        <f t="shared" si="45"/>
        <v>0</v>
      </c>
      <c r="K120" s="546"/>
      <c r="L120" s="546"/>
      <c r="M120" s="547">
        <f t="shared" si="38"/>
        <v>0</v>
      </c>
      <c r="N120" s="546"/>
      <c r="O120" s="547"/>
      <c r="P120" s="548"/>
      <c r="Q120" s="549">
        <f t="shared" si="46"/>
        <v>0</v>
      </c>
      <c r="R120" s="546"/>
      <c r="S120" s="546"/>
      <c r="T120" s="547">
        <f>Q120+R120+S120</f>
        <v>0</v>
      </c>
      <c r="U120" s="546"/>
      <c r="V120" s="547"/>
      <c r="W120" s="547"/>
      <c r="X120" s="547"/>
      <c r="Y120" s="547"/>
      <c r="Z120" s="546"/>
      <c r="AA120" s="549"/>
      <c r="AB120" s="548"/>
      <c r="AC120" s="549">
        <f t="shared" si="49"/>
        <v>0</v>
      </c>
      <c r="AD120" s="546"/>
      <c r="AE120" s="546"/>
      <c r="AF120" s="547">
        <f>AC120+AD120+AE120</f>
        <v>0</v>
      </c>
      <c r="AG120" s="546"/>
      <c r="AH120" s="549"/>
      <c r="AI120" s="549"/>
      <c r="AJ120" s="550">
        <f t="shared" si="50"/>
        <v>0</v>
      </c>
      <c r="AK120" s="549"/>
      <c r="AL120" s="546"/>
      <c r="AM120" s="547">
        <f>AJ120+AK120+AL120</f>
        <v>0</v>
      </c>
    </row>
    <row r="121" spans="1:39" s="4" customFormat="1" ht="13.5">
      <c r="A121" s="429">
        <v>112</v>
      </c>
      <c r="B121" s="423" t="s">
        <v>436</v>
      </c>
      <c r="C121" s="423" t="s">
        <v>821</v>
      </c>
      <c r="D121" s="423">
        <v>1969</v>
      </c>
      <c r="E121" s="416" t="s">
        <v>437</v>
      </c>
      <c r="F121" s="475" t="s">
        <v>738</v>
      </c>
      <c r="G121" s="63">
        <v>1</v>
      </c>
      <c r="H121" s="164">
        <v>10</v>
      </c>
      <c r="I121" s="419">
        <v>4.85</v>
      </c>
      <c r="J121" s="63">
        <f t="shared" si="45"/>
        <v>403519.99999999994</v>
      </c>
      <c r="K121" s="63">
        <v>8000</v>
      </c>
      <c r="L121" s="432">
        <f>+J121*5%</f>
        <v>20176</v>
      </c>
      <c r="M121" s="164">
        <f t="shared" si="38"/>
        <v>431695.99999999994</v>
      </c>
      <c r="N121" s="63">
        <v>1</v>
      </c>
      <c r="O121" s="414">
        <v>9</v>
      </c>
      <c r="P121" s="419">
        <v>4.7</v>
      </c>
      <c r="Q121" s="157">
        <f t="shared" si="46"/>
        <v>391040</v>
      </c>
      <c r="R121" s="157">
        <v>8000</v>
      </c>
      <c r="S121" s="432">
        <f>+Q121*5%</f>
        <v>19552</v>
      </c>
      <c r="T121" s="164">
        <f>Q121+R121+S121</f>
        <v>418592</v>
      </c>
      <c r="U121" s="63">
        <v>1</v>
      </c>
      <c r="V121" s="164">
        <f t="shared" si="47"/>
        <v>12479.999999999942</v>
      </c>
      <c r="W121" s="164">
        <f t="shared" si="47"/>
        <v>0</v>
      </c>
      <c r="X121" s="164">
        <f t="shared" si="47"/>
        <v>624</v>
      </c>
      <c r="Y121" s="164">
        <f t="shared" si="48"/>
        <v>13103.999999999942</v>
      </c>
      <c r="Z121" s="63">
        <v>1</v>
      </c>
      <c r="AA121" s="337">
        <v>11</v>
      </c>
      <c r="AB121" s="419">
        <v>4.85</v>
      </c>
      <c r="AC121" s="157">
        <f t="shared" si="49"/>
        <v>403519.99999999994</v>
      </c>
      <c r="AD121" s="157">
        <v>8000</v>
      </c>
      <c r="AE121" s="432">
        <f>+AC121*5%</f>
        <v>20176</v>
      </c>
      <c r="AF121" s="164">
        <f>AC121+AD121+AE121</f>
        <v>431695.99999999994</v>
      </c>
      <c r="AG121" s="63">
        <v>1</v>
      </c>
      <c r="AH121" s="157">
        <v>12</v>
      </c>
      <c r="AI121" s="157">
        <v>4.85</v>
      </c>
      <c r="AJ121" s="426">
        <f t="shared" si="50"/>
        <v>403519.99999999994</v>
      </c>
      <c r="AK121" s="157">
        <v>8000</v>
      </c>
      <c r="AL121" s="432">
        <f>+AJ121*5%</f>
        <v>20176</v>
      </c>
      <c r="AM121" s="164">
        <f>AJ121+AK121+AL121</f>
        <v>431695.99999999994</v>
      </c>
    </row>
    <row r="122" spans="1:39" s="4" customFormat="1" ht="25.5">
      <c r="A122" s="434">
        <v>113</v>
      </c>
      <c r="B122" s="423" t="s">
        <v>438</v>
      </c>
      <c r="C122" s="423" t="s">
        <v>823</v>
      </c>
      <c r="D122" s="423">
        <v>1966</v>
      </c>
      <c r="E122" s="416" t="s">
        <v>375</v>
      </c>
      <c r="F122" s="476" t="s">
        <v>739</v>
      </c>
      <c r="G122" s="63">
        <v>1</v>
      </c>
      <c r="H122" s="164">
        <v>1</v>
      </c>
      <c r="I122" s="419">
        <v>3.31</v>
      </c>
      <c r="J122" s="63">
        <f t="shared" si="45"/>
        <v>275392</v>
      </c>
      <c r="K122" s="63">
        <v>8000</v>
      </c>
      <c r="L122" s="63"/>
      <c r="M122" s="164">
        <f t="shared" si="38"/>
        <v>283392</v>
      </c>
      <c r="N122" s="63">
        <v>1</v>
      </c>
      <c r="O122" s="414">
        <v>0</v>
      </c>
      <c r="P122" s="419">
        <v>3.21</v>
      </c>
      <c r="Q122" s="157">
        <f t="shared" si="46"/>
        <v>267072</v>
      </c>
      <c r="R122" s="157">
        <v>8000</v>
      </c>
      <c r="S122" s="63"/>
      <c r="T122" s="164">
        <f>Q122+R122+S122</f>
        <v>275072</v>
      </c>
      <c r="U122" s="63">
        <v>1</v>
      </c>
      <c r="V122" s="164">
        <f t="shared" si="47"/>
        <v>8320</v>
      </c>
      <c r="W122" s="164">
        <f t="shared" si="47"/>
        <v>0</v>
      </c>
      <c r="X122" s="164">
        <f t="shared" si="47"/>
        <v>0</v>
      </c>
      <c r="Y122" s="164">
        <f t="shared" si="48"/>
        <v>8320</v>
      </c>
      <c r="Z122" s="63">
        <v>1</v>
      </c>
      <c r="AA122" s="337">
        <v>2</v>
      </c>
      <c r="AB122" s="419">
        <v>3.42</v>
      </c>
      <c r="AC122" s="157">
        <f t="shared" si="49"/>
        <v>284544</v>
      </c>
      <c r="AD122" s="157">
        <v>8000</v>
      </c>
      <c r="AE122" s="63"/>
      <c r="AF122" s="164">
        <f>AC122+AD122+AE122</f>
        <v>292544</v>
      </c>
      <c r="AG122" s="63">
        <v>1</v>
      </c>
      <c r="AH122" s="157">
        <f>+AA122+1</f>
        <v>3</v>
      </c>
      <c r="AI122" s="157">
        <v>3.53</v>
      </c>
      <c r="AJ122" s="426">
        <f t="shared" si="50"/>
        <v>293696</v>
      </c>
      <c r="AK122" s="157">
        <v>8000</v>
      </c>
      <c r="AL122" s="63"/>
      <c r="AM122" s="164">
        <f>AJ122+AK122+AL122</f>
        <v>301696</v>
      </c>
    </row>
    <row r="123" spans="1:39" s="4" customFormat="1" ht="25.5">
      <c r="A123" s="429">
        <v>114</v>
      </c>
      <c r="B123" s="416" t="s">
        <v>360</v>
      </c>
      <c r="C123" s="416"/>
      <c r="D123" s="416"/>
      <c r="E123" s="562" t="s">
        <v>392</v>
      </c>
      <c r="F123" s="541" t="s">
        <v>603</v>
      </c>
      <c r="G123" s="63">
        <v>1</v>
      </c>
      <c r="H123" s="164">
        <v>7</v>
      </c>
      <c r="I123" s="419">
        <v>3.11</v>
      </c>
      <c r="J123" s="63">
        <f>+I123*83200</f>
        <v>258752</v>
      </c>
      <c r="K123" s="63">
        <v>8000</v>
      </c>
      <c r="L123" s="63"/>
      <c r="M123" s="164">
        <f>J123+K123+L123</f>
        <v>266752</v>
      </c>
      <c r="N123" s="63">
        <v>1</v>
      </c>
      <c r="O123" s="414">
        <v>6</v>
      </c>
      <c r="P123" s="419">
        <v>3.02</v>
      </c>
      <c r="Q123" s="157">
        <f>+P123*83200</f>
        <v>251264</v>
      </c>
      <c r="R123" s="157">
        <v>8000</v>
      </c>
      <c r="S123" s="63"/>
      <c r="T123" s="164">
        <f>Q123+R123+S123</f>
        <v>259264</v>
      </c>
      <c r="U123" s="63">
        <v>1</v>
      </c>
      <c r="V123" s="164">
        <f>J123-Q123</f>
        <v>7488</v>
      </c>
      <c r="W123" s="164">
        <f>K123-R123</f>
        <v>0</v>
      </c>
      <c r="X123" s="164">
        <f>L123-S123</f>
        <v>0</v>
      </c>
      <c r="Y123" s="164">
        <f>V123+W123+X123</f>
        <v>7488</v>
      </c>
      <c r="Z123" s="63">
        <v>1</v>
      </c>
      <c r="AA123" s="337">
        <v>8</v>
      </c>
      <c r="AB123" s="419">
        <v>3.21</v>
      </c>
      <c r="AC123" s="157">
        <f>+AB123*83200</f>
        <v>267072</v>
      </c>
      <c r="AD123" s="157">
        <v>8000</v>
      </c>
      <c r="AE123" s="63"/>
      <c r="AF123" s="164">
        <f>AC123+AD123+AE123</f>
        <v>275072</v>
      </c>
      <c r="AG123" s="63">
        <v>1</v>
      </c>
      <c r="AH123" s="157">
        <f>+AA123+1</f>
        <v>9</v>
      </c>
      <c r="AI123" s="157">
        <v>3.11</v>
      </c>
      <c r="AJ123" s="426">
        <f t="shared" si="50"/>
        <v>258752</v>
      </c>
      <c r="AK123" s="157">
        <v>8000</v>
      </c>
      <c r="AL123" s="63"/>
      <c r="AM123" s="164">
        <f>AJ123+AK123+AL123</f>
        <v>266752</v>
      </c>
    </row>
    <row r="124" spans="1:39" s="551" customFormat="1" ht="54">
      <c r="A124" s="542">
        <v>126</v>
      </c>
      <c r="B124" s="560" t="s">
        <v>254</v>
      </c>
      <c r="C124" s="560"/>
      <c r="D124" s="560"/>
      <c r="E124" s="543"/>
      <c r="F124" s="556"/>
      <c r="G124" s="546"/>
      <c r="H124" s="547"/>
      <c r="I124" s="548"/>
      <c r="J124" s="546">
        <f t="shared" si="45"/>
        <v>0</v>
      </c>
      <c r="K124" s="546"/>
      <c r="L124" s="546"/>
      <c r="M124" s="547">
        <f>J124+K124+L124</f>
        <v>0</v>
      </c>
      <c r="N124" s="546"/>
      <c r="O124" s="547"/>
      <c r="P124" s="548"/>
      <c r="Q124" s="549">
        <f t="shared" si="46"/>
        <v>0</v>
      </c>
      <c r="R124" s="546"/>
      <c r="S124" s="546"/>
      <c r="T124" s="547">
        <f>Q124+R124+S124</f>
        <v>0</v>
      </c>
      <c r="U124" s="547">
        <f>+G124-N124</f>
        <v>0</v>
      </c>
      <c r="V124" s="547">
        <f t="shared" si="47"/>
        <v>0</v>
      </c>
      <c r="W124" s="547">
        <f t="shared" si="47"/>
        <v>0</v>
      </c>
      <c r="X124" s="547">
        <f t="shared" si="47"/>
        <v>0</v>
      </c>
      <c r="Y124" s="547">
        <f t="shared" si="48"/>
        <v>0</v>
      </c>
      <c r="Z124" s="546"/>
      <c r="AA124" s="549"/>
      <c r="AB124" s="548"/>
      <c r="AC124" s="549">
        <f t="shared" si="49"/>
        <v>0</v>
      </c>
      <c r="AD124" s="546"/>
      <c r="AE124" s="546"/>
      <c r="AF124" s="547">
        <f>AC124+AD124+AE124</f>
        <v>0</v>
      </c>
      <c r="AG124" s="546"/>
      <c r="AH124" s="549"/>
      <c r="AI124" s="549"/>
      <c r="AJ124" s="550">
        <f t="shared" si="50"/>
        <v>0</v>
      </c>
      <c r="AK124" s="549"/>
      <c r="AL124" s="546"/>
      <c r="AM124" s="547">
        <f>AJ124+AK124+AL124</f>
        <v>0</v>
      </c>
    </row>
    <row r="125" spans="1:39" s="4" customFormat="1" ht="27">
      <c r="A125" s="157"/>
      <c r="B125" s="331" t="s">
        <v>148</v>
      </c>
      <c r="C125" s="331"/>
      <c r="D125" s="331"/>
      <c r="E125" s="157"/>
      <c r="F125" s="157"/>
      <c r="G125" s="175">
        <f aca="true" t="shared" si="51" ref="G125:AM125">SUM(G31:G124)</f>
        <v>75</v>
      </c>
      <c r="H125" s="164">
        <f t="shared" si="51"/>
        <v>667</v>
      </c>
      <c r="I125" s="164">
        <f t="shared" si="51"/>
        <v>276.63</v>
      </c>
      <c r="J125" s="164">
        <f t="shared" si="51"/>
        <v>23015616</v>
      </c>
      <c r="K125" s="164">
        <f t="shared" si="51"/>
        <v>600000</v>
      </c>
      <c r="L125" s="164">
        <f t="shared" si="51"/>
        <v>380806.39999999997</v>
      </c>
      <c r="M125" s="164">
        <f t="shared" si="51"/>
        <v>23996422.400000006</v>
      </c>
      <c r="N125" s="175">
        <f t="shared" si="51"/>
        <v>75</v>
      </c>
      <c r="O125" s="175">
        <f t="shared" si="51"/>
        <v>588</v>
      </c>
      <c r="P125" s="175">
        <f t="shared" si="51"/>
        <v>274.4599999999999</v>
      </c>
      <c r="Q125" s="175">
        <f t="shared" si="51"/>
        <v>22835072</v>
      </c>
      <c r="R125" s="175">
        <f t="shared" si="51"/>
        <v>600000</v>
      </c>
      <c r="S125" s="175">
        <f t="shared" si="51"/>
        <v>379766.39999999997</v>
      </c>
      <c r="T125" s="175">
        <f t="shared" si="51"/>
        <v>23814838.400000006</v>
      </c>
      <c r="U125" s="175">
        <f t="shared" si="51"/>
        <v>75</v>
      </c>
      <c r="V125" s="175">
        <f t="shared" si="51"/>
        <v>180543.99999999997</v>
      </c>
      <c r="W125" s="175">
        <f t="shared" si="51"/>
        <v>0</v>
      </c>
      <c r="X125" s="175">
        <f t="shared" si="51"/>
        <v>1040</v>
      </c>
      <c r="Y125" s="175">
        <f t="shared" si="51"/>
        <v>181583.99999999997</v>
      </c>
      <c r="Z125" s="175">
        <f t="shared" si="51"/>
        <v>75</v>
      </c>
      <c r="AA125" s="175">
        <f t="shared" si="51"/>
        <v>741</v>
      </c>
      <c r="AB125" s="175">
        <f t="shared" si="51"/>
        <v>279.97999999999996</v>
      </c>
      <c r="AC125" s="175">
        <f t="shared" si="51"/>
        <v>23294336</v>
      </c>
      <c r="AD125" s="175">
        <f t="shared" si="51"/>
        <v>600000</v>
      </c>
      <c r="AE125" s="175">
        <f t="shared" si="51"/>
        <v>381721.6</v>
      </c>
      <c r="AF125" s="175">
        <f t="shared" si="51"/>
        <v>24276057.600000005</v>
      </c>
      <c r="AG125" s="175">
        <f t="shared" si="51"/>
        <v>75</v>
      </c>
      <c r="AH125" s="175">
        <f t="shared" si="51"/>
        <v>814</v>
      </c>
      <c r="AI125" s="175">
        <f t="shared" si="51"/>
        <v>285.6999999999999</v>
      </c>
      <c r="AJ125" s="175">
        <f t="shared" si="51"/>
        <v>23770240</v>
      </c>
      <c r="AK125" s="175">
        <f t="shared" si="51"/>
        <v>600000</v>
      </c>
      <c r="AL125" s="175">
        <f t="shared" si="51"/>
        <v>402063.99999999994</v>
      </c>
      <c r="AM125" s="175">
        <f t="shared" si="51"/>
        <v>24772304.000000004</v>
      </c>
    </row>
    <row r="126" spans="1:39" s="167" customFormat="1" ht="14.25">
      <c r="A126" s="477"/>
      <c r="E126" s="166" t="s">
        <v>1</v>
      </c>
      <c r="F126" s="166" t="s">
        <v>1</v>
      </c>
      <c r="G126" s="166"/>
      <c r="H126" s="166" t="s">
        <v>1</v>
      </c>
      <c r="I126" s="166" t="s">
        <v>1</v>
      </c>
      <c r="J126" s="422"/>
      <c r="K126" s="422"/>
      <c r="L126" s="422"/>
      <c r="M126" s="422"/>
      <c r="N126" s="166"/>
      <c r="O126" s="417"/>
      <c r="P126" s="166"/>
      <c r="Q126" s="422"/>
      <c r="R126" s="422"/>
      <c r="S126" s="422"/>
      <c r="T126" s="422"/>
      <c r="U126" s="166"/>
      <c r="V126" s="166"/>
      <c r="W126" s="166"/>
      <c r="X126" s="166"/>
      <c r="Y126" s="166"/>
      <c r="Z126" s="166"/>
      <c r="AA126" s="417"/>
      <c r="AB126" s="166"/>
      <c r="AC126" s="166"/>
      <c r="AD126" s="166"/>
      <c r="AE126" s="166"/>
      <c r="AF126" s="166"/>
      <c r="AG126" s="166"/>
      <c r="AH126" s="166"/>
      <c r="AI126" s="166"/>
      <c r="AJ126" s="166"/>
      <c r="AK126" s="166"/>
      <c r="AL126" s="166"/>
      <c r="AM126" s="166"/>
    </row>
    <row r="127" spans="1:39" s="4" customFormat="1" ht="39.75" customHeight="1">
      <c r="A127" s="337">
        <v>1</v>
      </c>
      <c r="B127" s="413" t="s">
        <v>360</v>
      </c>
      <c r="C127" s="413"/>
      <c r="D127" s="413"/>
      <c r="E127" s="478" t="s">
        <v>595</v>
      </c>
      <c r="F127" s="414"/>
      <c r="G127" s="479">
        <v>1</v>
      </c>
      <c r="H127" s="414">
        <v>0</v>
      </c>
      <c r="I127" s="445">
        <v>4.75</v>
      </c>
      <c r="J127" s="337">
        <f>83200*I127</f>
        <v>395200</v>
      </c>
      <c r="K127" s="157">
        <v>8000</v>
      </c>
      <c r="L127" s="132"/>
      <c r="M127" s="164">
        <f>J127+K127+L127</f>
        <v>403200</v>
      </c>
      <c r="N127" s="132">
        <v>1</v>
      </c>
      <c r="O127" s="414"/>
      <c r="P127" s="419">
        <v>4.75</v>
      </c>
      <c r="Q127" s="337">
        <f>83200*P127</f>
        <v>395200</v>
      </c>
      <c r="R127" s="157">
        <v>8000</v>
      </c>
      <c r="S127" s="132"/>
      <c r="T127" s="164">
        <f>Q127+R127+S127</f>
        <v>403200</v>
      </c>
      <c r="U127" s="132">
        <v>1</v>
      </c>
      <c r="V127" s="132"/>
      <c r="W127" s="132"/>
      <c r="X127" s="132"/>
      <c r="Y127" s="132"/>
      <c r="Z127" s="132">
        <v>1</v>
      </c>
      <c r="AA127" s="414"/>
      <c r="AB127" s="419">
        <v>4.75</v>
      </c>
      <c r="AC127" s="337">
        <f>83200*AB127</f>
        <v>395200</v>
      </c>
      <c r="AD127" s="132">
        <v>8000</v>
      </c>
      <c r="AE127" s="132"/>
      <c r="AF127" s="164">
        <f>AC127+AD127+AE127</f>
        <v>403200</v>
      </c>
      <c r="AG127" s="132">
        <v>1</v>
      </c>
      <c r="AH127" s="164"/>
      <c r="AI127" s="419">
        <v>4.75</v>
      </c>
      <c r="AJ127" s="337">
        <f>83200*AI127</f>
        <v>395200</v>
      </c>
      <c r="AK127" s="132">
        <v>8000</v>
      </c>
      <c r="AL127" s="132"/>
      <c r="AM127" s="164">
        <f>AJ127+AK127+AL127</f>
        <v>403200</v>
      </c>
    </row>
    <row r="128" spans="1:39" s="4" customFormat="1" ht="25.5">
      <c r="A128" s="337">
        <v>2</v>
      </c>
      <c r="B128" s="511" t="s">
        <v>564</v>
      </c>
      <c r="C128" s="511" t="s">
        <v>823</v>
      </c>
      <c r="D128" s="511">
        <v>1986</v>
      </c>
      <c r="E128" s="480" t="s">
        <v>445</v>
      </c>
      <c r="F128" s="414" t="s">
        <v>1</v>
      </c>
      <c r="G128" s="444">
        <v>1</v>
      </c>
      <c r="H128" s="414" t="s">
        <v>1</v>
      </c>
      <c r="I128" s="445">
        <v>1.25</v>
      </c>
      <c r="J128" s="337">
        <v>104000</v>
      </c>
      <c r="K128" s="157">
        <v>8000</v>
      </c>
      <c r="L128" s="157"/>
      <c r="M128" s="164">
        <f>J128+K128+L128</f>
        <v>112000</v>
      </c>
      <c r="N128" s="63">
        <v>1</v>
      </c>
      <c r="O128" s="414" t="s">
        <v>1</v>
      </c>
      <c r="P128" s="419">
        <v>1.25</v>
      </c>
      <c r="Q128" s="63">
        <v>104000</v>
      </c>
      <c r="R128" s="157">
        <v>8000</v>
      </c>
      <c r="S128" s="157"/>
      <c r="T128" s="164">
        <f>Q128+R128+S128</f>
        <v>112000</v>
      </c>
      <c r="U128" s="63">
        <v>1</v>
      </c>
      <c r="V128" s="164">
        <f aca="true" t="shared" si="52" ref="V128:X139">J128-Q128</f>
        <v>0</v>
      </c>
      <c r="W128" s="164">
        <f t="shared" si="52"/>
        <v>0</v>
      </c>
      <c r="X128" s="164">
        <f t="shared" si="52"/>
        <v>0</v>
      </c>
      <c r="Y128" s="164">
        <f>V128+W128+X128</f>
        <v>0</v>
      </c>
      <c r="Z128" s="63">
        <v>1</v>
      </c>
      <c r="AA128" s="414" t="s">
        <v>1</v>
      </c>
      <c r="AB128" s="419">
        <v>1.25</v>
      </c>
      <c r="AC128" s="63">
        <v>104000</v>
      </c>
      <c r="AD128" s="157">
        <v>8000</v>
      </c>
      <c r="AE128" s="157"/>
      <c r="AF128" s="164">
        <f>AC128+AD128+AE128</f>
        <v>112000</v>
      </c>
      <c r="AG128" s="63">
        <v>1</v>
      </c>
      <c r="AH128" s="164" t="s">
        <v>1</v>
      </c>
      <c r="AI128" s="419">
        <v>1.25</v>
      </c>
      <c r="AJ128" s="63">
        <v>104000</v>
      </c>
      <c r="AK128" s="157">
        <v>8000</v>
      </c>
      <c r="AL128" s="157"/>
      <c r="AM128" s="164">
        <f>AJ128+AK128+AL128</f>
        <v>112000</v>
      </c>
    </row>
    <row r="129" spans="1:39" s="4" customFormat="1" ht="13.5">
      <c r="A129" s="337">
        <v>5</v>
      </c>
      <c r="B129" s="511" t="s">
        <v>447</v>
      </c>
      <c r="C129" s="511" t="s">
        <v>821</v>
      </c>
      <c r="D129" s="511">
        <v>1977</v>
      </c>
      <c r="E129" s="481" t="s">
        <v>448</v>
      </c>
      <c r="F129" s="414" t="s">
        <v>1</v>
      </c>
      <c r="G129" s="444">
        <v>1</v>
      </c>
      <c r="H129" s="414" t="s">
        <v>1</v>
      </c>
      <c r="I129" s="445">
        <v>1.5</v>
      </c>
      <c r="J129" s="337">
        <f>+I129*83200</f>
        <v>124800</v>
      </c>
      <c r="K129" s="157">
        <v>8000</v>
      </c>
      <c r="L129" s="157"/>
      <c r="M129" s="164">
        <f aca="true" t="shared" si="53" ref="M129:M139">J129+K129+L129</f>
        <v>132800</v>
      </c>
      <c r="N129" s="63">
        <v>1</v>
      </c>
      <c r="O129" s="414" t="s">
        <v>1</v>
      </c>
      <c r="P129" s="419">
        <v>1.5</v>
      </c>
      <c r="Q129" s="63">
        <f>+P129*83200</f>
        <v>124800</v>
      </c>
      <c r="R129" s="157">
        <v>8000</v>
      </c>
      <c r="S129" s="157"/>
      <c r="T129" s="164">
        <f aca="true" t="shared" si="54" ref="T129:T139">Q129+R129+S129</f>
        <v>132800</v>
      </c>
      <c r="U129" s="63">
        <v>1</v>
      </c>
      <c r="V129" s="164">
        <f t="shared" si="52"/>
        <v>0</v>
      </c>
      <c r="W129" s="164">
        <f t="shared" si="52"/>
        <v>0</v>
      </c>
      <c r="X129" s="164">
        <f t="shared" si="52"/>
        <v>0</v>
      </c>
      <c r="Y129" s="164">
        <f aca="true" t="shared" si="55" ref="Y129:Y139">V129+W129+X129</f>
        <v>0</v>
      </c>
      <c r="Z129" s="63">
        <v>1</v>
      </c>
      <c r="AA129" s="414" t="s">
        <v>1</v>
      </c>
      <c r="AB129" s="419">
        <v>1.5</v>
      </c>
      <c r="AC129" s="63">
        <f>+AB129*83200</f>
        <v>124800</v>
      </c>
      <c r="AD129" s="157">
        <v>8000</v>
      </c>
      <c r="AE129" s="157"/>
      <c r="AF129" s="164">
        <f aca="true" t="shared" si="56" ref="AF129:AF139">AC129+AD129+AE129</f>
        <v>132800</v>
      </c>
      <c r="AG129" s="63">
        <v>1</v>
      </c>
      <c r="AH129" s="164" t="s">
        <v>1</v>
      </c>
      <c r="AI129" s="419">
        <v>1.5</v>
      </c>
      <c r="AJ129" s="63">
        <f>+AI129*83200</f>
        <v>124800</v>
      </c>
      <c r="AK129" s="157">
        <v>8000</v>
      </c>
      <c r="AL129" s="157"/>
      <c r="AM129" s="164">
        <f aca="true" t="shared" si="57" ref="AM129:AM139">AJ129+AK129+AL129</f>
        <v>132800</v>
      </c>
    </row>
    <row r="130" spans="1:39" s="4" customFormat="1" ht="13.5">
      <c r="A130" s="337">
        <v>6</v>
      </c>
      <c r="B130" s="511" t="s">
        <v>565</v>
      </c>
      <c r="C130" s="511" t="s">
        <v>823</v>
      </c>
      <c r="D130" s="511">
        <v>1987</v>
      </c>
      <c r="E130" s="481" t="s">
        <v>446</v>
      </c>
      <c r="F130" s="414" t="s">
        <v>1</v>
      </c>
      <c r="G130" s="444">
        <v>1</v>
      </c>
      <c r="H130" s="414" t="s">
        <v>1</v>
      </c>
      <c r="I130" s="445">
        <v>1.6</v>
      </c>
      <c r="J130" s="337">
        <f>+I130*83200</f>
        <v>133120</v>
      </c>
      <c r="K130" s="157">
        <v>8000</v>
      </c>
      <c r="L130" s="157"/>
      <c r="M130" s="164">
        <f t="shared" si="53"/>
        <v>141120</v>
      </c>
      <c r="N130" s="63">
        <v>1</v>
      </c>
      <c r="O130" s="414" t="s">
        <v>1</v>
      </c>
      <c r="P130" s="419">
        <v>1.6</v>
      </c>
      <c r="Q130" s="63">
        <f>+P130*83200</f>
        <v>133120</v>
      </c>
      <c r="R130" s="157">
        <v>8000</v>
      </c>
      <c r="S130" s="157"/>
      <c r="T130" s="164">
        <f t="shared" si="54"/>
        <v>141120</v>
      </c>
      <c r="U130" s="63">
        <v>1</v>
      </c>
      <c r="V130" s="164">
        <f t="shared" si="52"/>
        <v>0</v>
      </c>
      <c r="W130" s="164">
        <f t="shared" si="52"/>
        <v>0</v>
      </c>
      <c r="X130" s="164">
        <f t="shared" si="52"/>
        <v>0</v>
      </c>
      <c r="Y130" s="164">
        <f t="shared" si="55"/>
        <v>0</v>
      </c>
      <c r="Z130" s="63">
        <v>1</v>
      </c>
      <c r="AA130" s="414" t="s">
        <v>1</v>
      </c>
      <c r="AB130" s="419">
        <v>1.6</v>
      </c>
      <c r="AC130" s="63">
        <f>+AB130*83200</f>
        <v>133120</v>
      </c>
      <c r="AD130" s="157">
        <v>8000</v>
      </c>
      <c r="AE130" s="157"/>
      <c r="AF130" s="164">
        <f t="shared" si="56"/>
        <v>141120</v>
      </c>
      <c r="AG130" s="63">
        <v>1</v>
      </c>
      <c r="AH130" s="164" t="s">
        <v>1</v>
      </c>
      <c r="AI130" s="419">
        <v>1.6</v>
      </c>
      <c r="AJ130" s="63">
        <f>+AI130*83200</f>
        <v>133120</v>
      </c>
      <c r="AK130" s="157">
        <v>8000</v>
      </c>
      <c r="AL130" s="157"/>
      <c r="AM130" s="164">
        <f t="shared" si="57"/>
        <v>141120</v>
      </c>
    </row>
    <row r="131" spans="1:39" s="4" customFormat="1" ht="13.5">
      <c r="A131" s="337">
        <v>8</v>
      </c>
      <c r="B131" s="511" t="s">
        <v>449</v>
      </c>
      <c r="C131" s="511" t="s">
        <v>821</v>
      </c>
      <c r="D131" s="511">
        <v>1951</v>
      </c>
      <c r="E131" s="481" t="s">
        <v>450</v>
      </c>
      <c r="F131" s="414" t="s">
        <v>1</v>
      </c>
      <c r="G131" s="444">
        <v>1</v>
      </c>
      <c r="H131" s="414" t="s">
        <v>1</v>
      </c>
      <c r="I131" s="445">
        <v>1.1</v>
      </c>
      <c r="J131" s="337">
        <v>95625</v>
      </c>
      <c r="K131" s="157">
        <v>8000</v>
      </c>
      <c r="L131" s="157">
        <v>0</v>
      </c>
      <c r="M131" s="164">
        <f t="shared" si="53"/>
        <v>103625</v>
      </c>
      <c r="N131" s="63">
        <v>1</v>
      </c>
      <c r="O131" s="414" t="s">
        <v>1</v>
      </c>
      <c r="P131" s="419">
        <v>1.1</v>
      </c>
      <c r="Q131" s="63">
        <v>95625</v>
      </c>
      <c r="R131" s="157">
        <v>8000</v>
      </c>
      <c r="S131" s="157">
        <v>0</v>
      </c>
      <c r="T131" s="164">
        <f t="shared" si="54"/>
        <v>103625</v>
      </c>
      <c r="U131" s="63">
        <v>1</v>
      </c>
      <c r="V131" s="164">
        <f t="shared" si="52"/>
        <v>0</v>
      </c>
      <c r="W131" s="164">
        <f t="shared" si="52"/>
        <v>0</v>
      </c>
      <c r="X131" s="164">
        <f t="shared" si="52"/>
        <v>0</v>
      </c>
      <c r="Y131" s="164">
        <f t="shared" si="55"/>
        <v>0</v>
      </c>
      <c r="Z131" s="63">
        <v>1</v>
      </c>
      <c r="AA131" s="414" t="s">
        <v>1</v>
      </c>
      <c r="AB131" s="419">
        <v>1.1</v>
      </c>
      <c r="AC131" s="63">
        <v>95625</v>
      </c>
      <c r="AD131" s="157">
        <v>8000</v>
      </c>
      <c r="AE131" s="157">
        <v>0</v>
      </c>
      <c r="AF131" s="164">
        <f t="shared" si="56"/>
        <v>103625</v>
      </c>
      <c r="AG131" s="63">
        <v>1</v>
      </c>
      <c r="AH131" s="164" t="s">
        <v>1</v>
      </c>
      <c r="AI131" s="419">
        <v>1.1</v>
      </c>
      <c r="AJ131" s="63">
        <v>95625</v>
      </c>
      <c r="AK131" s="157">
        <v>8000</v>
      </c>
      <c r="AL131" s="157">
        <v>0</v>
      </c>
      <c r="AM131" s="164">
        <f t="shared" si="57"/>
        <v>103625</v>
      </c>
    </row>
    <row r="132" spans="1:39" s="4" customFormat="1" ht="13.5">
      <c r="A132" s="337">
        <v>9</v>
      </c>
      <c r="B132" s="511" t="s">
        <v>451</v>
      </c>
      <c r="C132" s="511" t="s">
        <v>821</v>
      </c>
      <c r="D132" s="511">
        <v>1971</v>
      </c>
      <c r="E132" s="481" t="s">
        <v>450</v>
      </c>
      <c r="F132" s="414" t="s">
        <v>1</v>
      </c>
      <c r="G132" s="444">
        <v>1</v>
      </c>
      <c r="H132" s="414" t="s">
        <v>1</v>
      </c>
      <c r="I132" s="445">
        <v>1.1</v>
      </c>
      <c r="J132" s="337">
        <v>95625</v>
      </c>
      <c r="K132" s="157">
        <v>8000</v>
      </c>
      <c r="L132" s="157">
        <v>0</v>
      </c>
      <c r="M132" s="164">
        <f t="shared" si="53"/>
        <v>103625</v>
      </c>
      <c r="N132" s="63">
        <v>1</v>
      </c>
      <c r="O132" s="414" t="s">
        <v>1</v>
      </c>
      <c r="P132" s="419">
        <v>1.1</v>
      </c>
      <c r="Q132" s="63">
        <v>95625</v>
      </c>
      <c r="R132" s="157">
        <v>8000</v>
      </c>
      <c r="S132" s="157">
        <v>0</v>
      </c>
      <c r="T132" s="164">
        <f t="shared" si="54"/>
        <v>103625</v>
      </c>
      <c r="U132" s="63">
        <v>1</v>
      </c>
      <c r="V132" s="164">
        <f t="shared" si="52"/>
        <v>0</v>
      </c>
      <c r="W132" s="164">
        <f t="shared" si="52"/>
        <v>0</v>
      </c>
      <c r="X132" s="164">
        <f t="shared" si="52"/>
        <v>0</v>
      </c>
      <c r="Y132" s="164">
        <f t="shared" si="55"/>
        <v>0</v>
      </c>
      <c r="Z132" s="63">
        <v>1</v>
      </c>
      <c r="AA132" s="414" t="s">
        <v>1</v>
      </c>
      <c r="AB132" s="419">
        <v>1.1</v>
      </c>
      <c r="AC132" s="63">
        <v>95625</v>
      </c>
      <c r="AD132" s="157">
        <v>8000</v>
      </c>
      <c r="AE132" s="157">
        <v>0</v>
      </c>
      <c r="AF132" s="164">
        <f t="shared" si="56"/>
        <v>103625</v>
      </c>
      <c r="AG132" s="63">
        <v>1</v>
      </c>
      <c r="AH132" s="164" t="s">
        <v>1</v>
      </c>
      <c r="AI132" s="419">
        <v>1.1</v>
      </c>
      <c r="AJ132" s="63">
        <v>95625</v>
      </c>
      <c r="AK132" s="157">
        <v>8000</v>
      </c>
      <c r="AL132" s="157">
        <v>0</v>
      </c>
      <c r="AM132" s="164">
        <f t="shared" si="57"/>
        <v>103625</v>
      </c>
    </row>
    <row r="133" spans="1:39" s="4" customFormat="1" ht="13.5">
      <c r="A133" s="337">
        <v>10</v>
      </c>
      <c r="B133" s="511" t="s">
        <v>452</v>
      </c>
      <c r="C133" s="511" t="s">
        <v>821</v>
      </c>
      <c r="D133" s="511">
        <v>1952</v>
      </c>
      <c r="E133" s="481" t="s">
        <v>450</v>
      </c>
      <c r="F133" s="414" t="s">
        <v>1</v>
      </c>
      <c r="G133" s="444">
        <v>1</v>
      </c>
      <c r="H133" s="414" t="s">
        <v>1</v>
      </c>
      <c r="I133" s="445">
        <v>1.1</v>
      </c>
      <c r="J133" s="337">
        <v>95625</v>
      </c>
      <c r="K133" s="157">
        <v>8000</v>
      </c>
      <c r="L133" s="157">
        <v>0</v>
      </c>
      <c r="M133" s="164">
        <f t="shared" si="53"/>
        <v>103625</v>
      </c>
      <c r="N133" s="63">
        <v>1</v>
      </c>
      <c r="O133" s="414" t="s">
        <v>1</v>
      </c>
      <c r="P133" s="419">
        <v>1.1</v>
      </c>
      <c r="Q133" s="63">
        <v>95625</v>
      </c>
      <c r="R133" s="157">
        <v>8000</v>
      </c>
      <c r="S133" s="157">
        <v>0</v>
      </c>
      <c r="T133" s="164">
        <f t="shared" si="54"/>
        <v>103625</v>
      </c>
      <c r="U133" s="63">
        <v>1</v>
      </c>
      <c r="V133" s="164">
        <f t="shared" si="52"/>
        <v>0</v>
      </c>
      <c r="W133" s="164">
        <f t="shared" si="52"/>
        <v>0</v>
      </c>
      <c r="X133" s="164">
        <f t="shared" si="52"/>
        <v>0</v>
      </c>
      <c r="Y133" s="164">
        <f t="shared" si="55"/>
        <v>0</v>
      </c>
      <c r="Z133" s="63">
        <v>1</v>
      </c>
      <c r="AA133" s="414" t="s">
        <v>1</v>
      </c>
      <c r="AB133" s="419">
        <v>1.1</v>
      </c>
      <c r="AC133" s="63">
        <v>95625</v>
      </c>
      <c r="AD133" s="157">
        <v>8000</v>
      </c>
      <c r="AE133" s="157">
        <v>0</v>
      </c>
      <c r="AF133" s="164">
        <f t="shared" si="56"/>
        <v>103625</v>
      </c>
      <c r="AG133" s="63">
        <v>1</v>
      </c>
      <c r="AH133" s="164" t="s">
        <v>1</v>
      </c>
      <c r="AI133" s="419">
        <v>1.1</v>
      </c>
      <c r="AJ133" s="63">
        <v>95625</v>
      </c>
      <c r="AK133" s="157">
        <v>8000</v>
      </c>
      <c r="AL133" s="157">
        <v>0</v>
      </c>
      <c r="AM133" s="164">
        <f t="shared" si="57"/>
        <v>103625</v>
      </c>
    </row>
    <row r="134" spans="1:39" s="4" customFormat="1" ht="13.5">
      <c r="A134" s="337">
        <v>11</v>
      </c>
      <c r="B134" s="511" t="s">
        <v>453</v>
      </c>
      <c r="C134" s="511" t="s">
        <v>821</v>
      </c>
      <c r="D134" s="511">
        <v>1954</v>
      </c>
      <c r="E134" s="481" t="s">
        <v>450</v>
      </c>
      <c r="F134" s="414" t="s">
        <v>1</v>
      </c>
      <c r="G134" s="444">
        <v>1</v>
      </c>
      <c r="H134" s="414" t="s">
        <v>1</v>
      </c>
      <c r="I134" s="445">
        <v>1.1</v>
      </c>
      <c r="J134" s="337">
        <v>95625</v>
      </c>
      <c r="K134" s="157">
        <v>8000</v>
      </c>
      <c r="L134" s="157">
        <v>0</v>
      </c>
      <c r="M134" s="164">
        <f t="shared" si="53"/>
        <v>103625</v>
      </c>
      <c r="N134" s="63">
        <v>1</v>
      </c>
      <c r="O134" s="414" t="s">
        <v>1</v>
      </c>
      <c r="P134" s="419">
        <v>1.1</v>
      </c>
      <c r="Q134" s="63">
        <v>95625</v>
      </c>
      <c r="R134" s="157">
        <v>8000</v>
      </c>
      <c r="S134" s="157">
        <v>0</v>
      </c>
      <c r="T134" s="164">
        <f t="shared" si="54"/>
        <v>103625</v>
      </c>
      <c r="U134" s="63">
        <v>1</v>
      </c>
      <c r="V134" s="164">
        <f t="shared" si="52"/>
        <v>0</v>
      </c>
      <c r="W134" s="164">
        <f t="shared" si="52"/>
        <v>0</v>
      </c>
      <c r="X134" s="164">
        <f t="shared" si="52"/>
        <v>0</v>
      </c>
      <c r="Y134" s="164">
        <f t="shared" si="55"/>
        <v>0</v>
      </c>
      <c r="Z134" s="63">
        <v>1</v>
      </c>
      <c r="AA134" s="414" t="s">
        <v>1</v>
      </c>
      <c r="AB134" s="419">
        <v>1.1</v>
      </c>
      <c r="AC134" s="63">
        <v>95625</v>
      </c>
      <c r="AD134" s="157">
        <v>8000</v>
      </c>
      <c r="AE134" s="157">
        <v>0</v>
      </c>
      <c r="AF134" s="164">
        <f t="shared" si="56"/>
        <v>103625</v>
      </c>
      <c r="AG134" s="63">
        <v>1</v>
      </c>
      <c r="AH134" s="164" t="s">
        <v>1</v>
      </c>
      <c r="AI134" s="419">
        <v>1.1</v>
      </c>
      <c r="AJ134" s="63">
        <v>95625</v>
      </c>
      <c r="AK134" s="157">
        <v>8000</v>
      </c>
      <c r="AL134" s="157">
        <v>0</v>
      </c>
      <c r="AM134" s="164">
        <f t="shared" si="57"/>
        <v>103625</v>
      </c>
    </row>
    <row r="135" spans="1:39" s="4" customFormat="1" ht="13.5">
      <c r="A135" s="337">
        <v>12</v>
      </c>
      <c r="B135" s="511" t="s">
        <v>454</v>
      </c>
      <c r="C135" s="511" t="s">
        <v>823</v>
      </c>
      <c r="D135" s="511">
        <v>1959</v>
      </c>
      <c r="E135" s="481" t="s">
        <v>455</v>
      </c>
      <c r="F135" s="414" t="s">
        <v>1</v>
      </c>
      <c r="G135" s="444">
        <v>1</v>
      </c>
      <c r="H135" s="414" t="s">
        <v>1</v>
      </c>
      <c r="I135" s="445">
        <v>1</v>
      </c>
      <c r="J135" s="337">
        <v>95625</v>
      </c>
      <c r="K135" s="157">
        <v>8000</v>
      </c>
      <c r="L135" s="157"/>
      <c r="M135" s="164">
        <f t="shared" si="53"/>
        <v>103625</v>
      </c>
      <c r="N135" s="63">
        <v>1</v>
      </c>
      <c r="O135" s="414" t="s">
        <v>1</v>
      </c>
      <c r="P135" s="419">
        <v>1</v>
      </c>
      <c r="Q135" s="63">
        <v>95625</v>
      </c>
      <c r="R135" s="157">
        <v>8000</v>
      </c>
      <c r="S135" s="157"/>
      <c r="T135" s="164">
        <f t="shared" si="54"/>
        <v>103625</v>
      </c>
      <c r="U135" s="63">
        <v>1</v>
      </c>
      <c r="V135" s="164">
        <f t="shared" si="52"/>
        <v>0</v>
      </c>
      <c r="W135" s="164">
        <f t="shared" si="52"/>
        <v>0</v>
      </c>
      <c r="X135" s="164">
        <f t="shared" si="52"/>
        <v>0</v>
      </c>
      <c r="Y135" s="164">
        <f t="shared" si="55"/>
        <v>0</v>
      </c>
      <c r="Z135" s="63">
        <v>1</v>
      </c>
      <c r="AA135" s="414" t="s">
        <v>1</v>
      </c>
      <c r="AB135" s="419">
        <v>1</v>
      </c>
      <c r="AC135" s="63">
        <v>95625</v>
      </c>
      <c r="AD135" s="157">
        <v>8000</v>
      </c>
      <c r="AE135" s="157"/>
      <c r="AF135" s="164">
        <f t="shared" si="56"/>
        <v>103625</v>
      </c>
      <c r="AG135" s="63">
        <v>1</v>
      </c>
      <c r="AH135" s="164" t="s">
        <v>1</v>
      </c>
      <c r="AI135" s="419">
        <v>1</v>
      </c>
      <c r="AJ135" s="63">
        <v>95625</v>
      </c>
      <c r="AK135" s="157">
        <v>8000</v>
      </c>
      <c r="AL135" s="157"/>
      <c r="AM135" s="164">
        <f t="shared" si="57"/>
        <v>103625</v>
      </c>
    </row>
    <row r="136" spans="1:39" s="4" customFormat="1" ht="13.5">
      <c r="A136" s="337">
        <v>13</v>
      </c>
      <c r="B136" s="511" t="s">
        <v>456</v>
      </c>
      <c r="C136" s="511" t="s">
        <v>823</v>
      </c>
      <c r="D136" s="511">
        <v>1980</v>
      </c>
      <c r="E136" s="481" t="s">
        <v>455</v>
      </c>
      <c r="F136" s="414" t="s">
        <v>1</v>
      </c>
      <c r="G136" s="444">
        <v>1</v>
      </c>
      <c r="H136" s="414" t="s">
        <v>1</v>
      </c>
      <c r="I136" s="445">
        <v>1</v>
      </c>
      <c r="J136" s="337">
        <v>95625</v>
      </c>
      <c r="K136" s="157">
        <v>8000</v>
      </c>
      <c r="L136" s="157"/>
      <c r="M136" s="164">
        <f t="shared" si="53"/>
        <v>103625</v>
      </c>
      <c r="N136" s="63">
        <v>1</v>
      </c>
      <c r="O136" s="414" t="s">
        <v>1</v>
      </c>
      <c r="P136" s="419">
        <v>1</v>
      </c>
      <c r="Q136" s="63">
        <v>95625</v>
      </c>
      <c r="R136" s="157">
        <v>8000</v>
      </c>
      <c r="S136" s="157"/>
      <c r="T136" s="164">
        <f t="shared" si="54"/>
        <v>103625</v>
      </c>
      <c r="U136" s="63">
        <v>1</v>
      </c>
      <c r="V136" s="164">
        <f t="shared" si="52"/>
        <v>0</v>
      </c>
      <c r="W136" s="164">
        <f t="shared" si="52"/>
        <v>0</v>
      </c>
      <c r="X136" s="164">
        <f t="shared" si="52"/>
        <v>0</v>
      </c>
      <c r="Y136" s="164">
        <f t="shared" si="55"/>
        <v>0</v>
      </c>
      <c r="Z136" s="63">
        <v>1</v>
      </c>
      <c r="AA136" s="414" t="s">
        <v>1</v>
      </c>
      <c r="AB136" s="419">
        <v>1</v>
      </c>
      <c r="AC136" s="63">
        <v>95625</v>
      </c>
      <c r="AD136" s="157">
        <v>8000</v>
      </c>
      <c r="AE136" s="157"/>
      <c r="AF136" s="164">
        <f t="shared" si="56"/>
        <v>103625</v>
      </c>
      <c r="AG136" s="63">
        <v>1</v>
      </c>
      <c r="AH136" s="164" t="s">
        <v>1</v>
      </c>
      <c r="AI136" s="419">
        <v>1</v>
      </c>
      <c r="AJ136" s="63">
        <v>95625</v>
      </c>
      <c r="AK136" s="157">
        <v>8000</v>
      </c>
      <c r="AL136" s="157"/>
      <c r="AM136" s="164">
        <f t="shared" si="57"/>
        <v>103625</v>
      </c>
    </row>
    <row r="137" spans="1:39" s="4" customFormat="1" ht="13.5">
      <c r="A137" s="337">
        <v>14</v>
      </c>
      <c r="B137" s="511" t="s">
        <v>457</v>
      </c>
      <c r="C137" s="511" t="s">
        <v>823</v>
      </c>
      <c r="D137" s="511">
        <v>1952</v>
      </c>
      <c r="E137" s="481" t="s">
        <v>455</v>
      </c>
      <c r="F137" s="414" t="s">
        <v>1</v>
      </c>
      <c r="G137" s="444">
        <v>1</v>
      </c>
      <c r="H137" s="414" t="s">
        <v>1</v>
      </c>
      <c r="I137" s="445">
        <v>1</v>
      </c>
      <c r="J137" s="337">
        <v>95625</v>
      </c>
      <c r="K137" s="157">
        <v>8000</v>
      </c>
      <c r="L137" s="157"/>
      <c r="M137" s="164">
        <f t="shared" si="53"/>
        <v>103625</v>
      </c>
      <c r="N137" s="63">
        <v>1</v>
      </c>
      <c r="O137" s="414" t="s">
        <v>1</v>
      </c>
      <c r="P137" s="419">
        <v>1</v>
      </c>
      <c r="Q137" s="63">
        <v>95625</v>
      </c>
      <c r="R137" s="157">
        <v>8000</v>
      </c>
      <c r="S137" s="157"/>
      <c r="T137" s="164">
        <f t="shared" si="54"/>
        <v>103625</v>
      </c>
      <c r="U137" s="63">
        <v>1</v>
      </c>
      <c r="V137" s="164">
        <f t="shared" si="52"/>
        <v>0</v>
      </c>
      <c r="W137" s="164">
        <f t="shared" si="52"/>
        <v>0</v>
      </c>
      <c r="X137" s="164">
        <f t="shared" si="52"/>
        <v>0</v>
      </c>
      <c r="Y137" s="164">
        <f t="shared" si="55"/>
        <v>0</v>
      </c>
      <c r="Z137" s="63">
        <v>1</v>
      </c>
      <c r="AA137" s="414" t="s">
        <v>1</v>
      </c>
      <c r="AB137" s="419">
        <v>1</v>
      </c>
      <c r="AC137" s="63">
        <v>95625</v>
      </c>
      <c r="AD137" s="157">
        <v>8000</v>
      </c>
      <c r="AE137" s="157"/>
      <c r="AF137" s="164">
        <f t="shared" si="56"/>
        <v>103625</v>
      </c>
      <c r="AG137" s="63">
        <v>1</v>
      </c>
      <c r="AH137" s="164" t="s">
        <v>1</v>
      </c>
      <c r="AI137" s="419">
        <v>1</v>
      </c>
      <c r="AJ137" s="63">
        <v>95625</v>
      </c>
      <c r="AK137" s="157">
        <v>8000</v>
      </c>
      <c r="AL137" s="157"/>
      <c r="AM137" s="164">
        <f t="shared" si="57"/>
        <v>103625</v>
      </c>
    </row>
    <row r="138" spans="1:39" s="4" customFormat="1" ht="13.5">
      <c r="A138" s="337">
        <v>15</v>
      </c>
      <c r="B138" s="511" t="s">
        <v>458</v>
      </c>
      <c r="C138" s="511" t="s">
        <v>823</v>
      </c>
      <c r="D138" s="511">
        <v>1952</v>
      </c>
      <c r="E138" s="481" t="s">
        <v>455</v>
      </c>
      <c r="F138" s="414" t="s">
        <v>1</v>
      </c>
      <c r="G138" s="444">
        <v>1</v>
      </c>
      <c r="H138" s="414" t="s">
        <v>1</v>
      </c>
      <c r="I138" s="445">
        <v>1</v>
      </c>
      <c r="J138" s="337">
        <v>95625</v>
      </c>
      <c r="K138" s="157">
        <v>8000</v>
      </c>
      <c r="L138" s="157"/>
      <c r="M138" s="164">
        <f t="shared" si="53"/>
        <v>103625</v>
      </c>
      <c r="N138" s="63">
        <v>1</v>
      </c>
      <c r="O138" s="414" t="s">
        <v>1</v>
      </c>
      <c r="P138" s="419">
        <v>1</v>
      </c>
      <c r="Q138" s="63">
        <v>95625</v>
      </c>
      <c r="R138" s="157">
        <v>8000</v>
      </c>
      <c r="S138" s="157"/>
      <c r="T138" s="164">
        <f t="shared" si="54"/>
        <v>103625</v>
      </c>
      <c r="U138" s="63">
        <v>1</v>
      </c>
      <c r="V138" s="164">
        <f t="shared" si="52"/>
        <v>0</v>
      </c>
      <c r="W138" s="164">
        <f t="shared" si="52"/>
        <v>0</v>
      </c>
      <c r="X138" s="164">
        <f t="shared" si="52"/>
        <v>0</v>
      </c>
      <c r="Y138" s="164">
        <f t="shared" si="55"/>
        <v>0</v>
      </c>
      <c r="Z138" s="63">
        <v>1</v>
      </c>
      <c r="AA138" s="414" t="s">
        <v>1</v>
      </c>
      <c r="AB138" s="419">
        <v>1</v>
      </c>
      <c r="AC138" s="63">
        <v>95625</v>
      </c>
      <c r="AD138" s="157">
        <v>8000</v>
      </c>
      <c r="AE138" s="157"/>
      <c r="AF138" s="164">
        <f t="shared" si="56"/>
        <v>103625</v>
      </c>
      <c r="AG138" s="63">
        <v>1</v>
      </c>
      <c r="AH138" s="164" t="s">
        <v>1</v>
      </c>
      <c r="AI138" s="419">
        <v>1</v>
      </c>
      <c r="AJ138" s="63">
        <v>95625</v>
      </c>
      <c r="AK138" s="157">
        <v>8000</v>
      </c>
      <c r="AL138" s="157"/>
      <c r="AM138" s="164">
        <f t="shared" si="57"/>
        <v>103625</v>
      </c>
    </row>
    <row r="139" spans="1:39" s="4" customFormat="1" ht="13.5">
      <c r="A139" s="337">
        <v>16</v>
      </c>
      <c r="B139" s="511" t="s">
        <v>459</v>
      </c>
      <c r="C139" s="511" t="s">
        <v>823</v>
      </c>
      <c r="D139" s="511">
        <v>1959</v>
      </c>
      <c r="E139" s="481" t="s">
        <v>455</v>
      </c>
      <c r="F139" s="414" t="s">
        <v>1</v>
      </c>
      <c r="G139" s="444">
        <v>1</v>
      </c>
      <c r="H139" s="414" t="s">
        <v>1</v>
      </c>
      <c r="I139" s="445">
        <v>1</v>
      </c>
      <c r="J139" s="337">
        <v>95625</v>
      </c>
      <c r="K139" s="157">
        <v>8000</v>
      </c>
      <c r="L139" s="157"/>
      <c r="M139" s="164">
        <f t="shared" si="53"/>
        <v>103625</v>
      </c>
      <c r="N139" s="63">
        <v>1</v>
      </c>
      <c r="O139" s="414" t="s">
        <v>1</v>
      </c>
      <c r="P139" s="419">
        <v>1</v>
      </c>
      <c r="Q139" s="63">
        <v>95625</v>
      </c>
      <c r="R139" s="157">
        <v>8000</v>
      </c>
      <c r="S139" s="157"/>
      <c r="T139" s="164">
        <f t="shared" si="54"/>
        <v>103625</v>
      </c>
      <c r="U139" s="63">
        <v>1</v>
      </c>
      <c r="V139" s="164">
        <f t="shared" si="52"/>
        <v>0</v>
      </c>
      <c r="W139" s="164">
        <f t="shared" si="52"/>
        <v>0</v>
      </c>
      <c r="X139" s="164">
        <f t="shared" si="52"/>
        <v>0</v>
      </c>
      <c r="Y139" s="164">
        <f t="shared" si="55"/>
        <v>0</v>
      </c>
      <c r="Z139" s="63">
        <v>1</v>
      </c>
      <c r="AA139" s="414" t="s">
        <v>1</v>
      </c>
      <c r="AB139" s="419">
        <v>1</v>
      </c>
      <c r="AC139" s="63">
        <v>95625</v>
      </c>
      <c r="AD139" s="157">
        <v>8000</v>
      </c>
      <c r="AE139" s="157"/>
      <c r="AF139" s="164">
        <f t="shared" si="56"/>
        <v>103625</v>
      </c>
      <c r="AG139" s="63">
        <v>1</v>
      </c>
      <c r="AH139" s="164" t="s">
        <v>1</v>
      </c>
      <c r="AI139" s="419">
        <v>1</v>
      </c>
      <c r="AJ139" s="63">
        <v>95625</v>
      </c>
      <c r="AK139" s="157">
        <v>8000</v>
      </c>
      <c r="AL139" s="157"/>
      <c r="AM139" s="164">
        <f t="shared" si="57"/>
        <v>103625</v>
      </c>
    </row>
    <row r="140" spans="1:39" s="4" customFormat="1" ht="13.5">
      <c r="A140" s="157"/>
      <c r="B140" s="213"/>
      <c r="C140" s="213"/>
      <c r="D140" s="213"/>
      <c r="E140" s="481"/>
      <c r="F140" s="164"/>
      <c r="G140" s="63"/>
      <c r="H140" s="164"/>
      <c r="I140" s="419"/>
      <c r="J140" s="157"/>
      <c r="K140" s="157"/>
      <c r="L140" s="63"/>
      <c r="M140" s="164"/>
      <c r="N140" s="63"/>
      <c r="O140" s="414"/>
      <c r="P140" s="419"/>
      <c r="Q140" s="157"/>
      <c r="R140" s="157"/>
      <c r="S140" s="63"/>
      <c r="T140" s="164"/>
      <c r="U140" s="164"/>
      <c r="V140" s="164"/>
      <c r="W140" s="164"/>
      <c r="X140" s="164"/>
      <c r="Y140" s="164"/>
      <c r="Z140" s="63"/>
      <c r="AA140" s="414"/>
      <c r="AB140" s="419"/>
      <c r="AC140" s="157"/>
      <c r="AD140" s="157"/>
      <c r="AE140" s="63"/>
      <c r="AF140" s="164"/>
      <c r="AG140" s="63"/>
      <c r="AH140" s="164"/>
      <c r="AI140" s="419"/>
      <c r="AJ140" s="157"/>
      <c r="AK140" s="157"/>
      <c r="AL140" s="63"/>
      <c r="AM140" s="164"/>
    </row>
    <row r="141" spans="1:39" s="4" customFormat="1" ht="13.5">
      <c r="A141" s="157"/>
      <c r="B141" s="213"/>
      <c r="C141" s="213"/>
      <c r="D141" s="213"/>
      <c r="E141" s="481"/>
      <c r="F141" s="164"/>
      <c r="G141" s="63"/>
      <c r="H141" s="164"/>
      <c r="I141" s="419"/>
      <c r="J141" s="157"/>
      <c r="K141" s="157"/>
      <c r="L141" s="63"/>
      <c r="M141" s="164"/>
      <c r="N141" s="63"/>
      <c r="O141" s="414"/>
      <c r="P141" s="419"/>
      <c r="Q141" s="157"/>
      <c r="R141" s="157"/>
      <c r="S141" s="63"/>
      <c r="T141" s="164"/>
      <c r="U141" s="164"/>
      <c r="V141" s="164"/>
      <c r="W141" s="164"/>
      <c r="X141" s="164"/>
      <c r="Y141" s="164"/>
      <c r="Z141" s="63"/>
      <c r="AA141" s="414"/>
      <c r="AB141" s="419"/>
      <c r="AC141" s="157"/>
      <c r="AD141" s="157"/>
      <c r="AE141" s="63"/>
      <c r="AF141" s="164"/>
      <c r="AG141" s="63"/>
      <c r="AH141" s="164"/>
      <c r="AI141" s="419"/>
      <c r="AJ141" s="157"/>
      <c r="AK141" s="157"/>
      <c r="AL141" s="63"/>
      <c r="AM141" s="164"/>
    </row>
    <row r="142" spans="1:39" s="4" customFormat="1" ht="13.5">
      <c r="A142" s="337"/>
      <c r="B142" s="184"/>
      <c r="C142" s="184"/>
      <c r="D142" s="184"/>
      <c r="E142" s="481"/>
      <c r="F142" s="164"/>
      <c r="G142" s="63"/>
      <c r="H142" s="164"/>
      <c r="I142" s="164"/>
      <c r="J142" s="63"/>
      <c r="K142" s="63"/>
      <c r="L142" s="63"/>
      <c r="M142" s="164"/>
      <c r="N142" s="63"/>
      <c r="O142" s="414"/>
      <c r="P142" s="164"/>
      <c r="Q142" s="63"/>
      <c r="R142" s="63"/>
      <c r="S142" s="63"/>
      <c r="T142" s="164"/>
      <c r="U142" s="164"/>
      <c r="V142" s="164"/>
      <c r="W142" s="164"/>
      <c r="X142" s="164"/>
      <c r="Y142" s="164"/>
      <c r="Z142" s="63"/>
      <c r="AA142" s="414"/>
      <c r="AB142" s="164"/>
      <c r="AC142" s="63"/>
      <c r="AD142" s="63"/>
      <c r="AE142" s="63"/>
      <c r="AF142" s="164"/>
      <c r="AG142" s="63"/>
      <c r="AH142" s="164"/>
      <c r="AI142" s="164"/>
      <c r="AJ142" s="63"/>
      <c r="AK142" s="63"/>
      <c r="AL142" s="63"/>
      <c r="AM142" s="164"/>
    </row>
    <row r="143" spans="1:39" s="167" customFormat="1" ht="14.25">
      <c r="A143" s="162"/>
      <c r="B143" s="330" t="s">
        <v>63</v>
      </c>
      <c r="C143" s="330"/>
      <c r="D143" s="330"/>
      <c r="E143" s="166" t="s">
        <v>1</v>
      </c>
      <c r="F143" s="166" t="s">
        <v>1</v>
      </c>
      <c r="G143" s="166">
        <f>SUM(G127:G142)</f>
        <v>13</v>
      </c>
      <c r="H143" s="166" t="s">
        <v>1</v>
      </c>
      <c r="I143" s="166" t="s">
        <v>1</v>
      </c>
      <c r="J143" s="422">
        <f>SUM(J127:J142)</f>
        <v>1617745</v>
      </c>
      <c r="K143" s="422">
        <f>SUM(K127:K142)</f>
        <v>104000</v>
      </c>
      <c r="L143" s="166">
        <f>SUM(L128:L142)</f>
        <v>0</v>
      </c>
      <c r="M143" s="422">
        <f>SUM(M127:M142)</f>
        <v>1721745</v>
      </c>
      <c r="N143" s="166">
        <f>SUM(N127:N142)</f>
        <v>13</v>
      </c>
      <c r="O143" s="417" t="s">
        <v>1</v>
      </c>
      <c r="P143" s="166" t="s">
        <v>1</v>
      </c>
      <c r="Q143" s="166">
        <f>SUM(Q127:Q142)</f>
        <v>1617745</v>
      </c>
      <c r="R143" s="166">
        <f>SUM(R127:R142)</f>
        <v>104000</v>
      </c>
      <c r="S143" s="166">
        <f>SUM(S128:S142)</f>
        <v>0</v>
      </c>
      <c r="T143" s="166">
        <f>SUM(T127:T142)</f>
        <v>1721745</v>
      </c>
      <c r="U143" s="166">
        <f>SUM(U127:U142)</f>
        <v>13</v>
      </c>
      <c r="V143" s="166">
        <f>SUM(V128:V142)</f>
        <v>0</v>
      </c>
      <c r="W143" s="166">
        <f>SUM(W128:W142)</f>
        <v>0</v>
      </c>
      <c r="X143" s="166">
        <f>SUM(X128:X142)</f>
        <v>0</v>
      </c>
      <c r="Y143" s="166">
        <f>SUM(Y128:Y142)</f>
        <v>0</v>
      </c>
      <c r="Z143" s="166">
        <f>SUM(Z127:Z142)</f>
        <v>13</v>
      </c>
      <c r="AA143" s="417" t="s">
        <v>1</v>
      </c>
      <c r="AB143" s="166" t="s">
        <v>1</v>
      </c>
      <c r="AC143" s="166">
        <f>SUM(AC127:AC142)</f>
        <v>1617745</v>
      </c>
      <c r="AD143" s="166">
        <f>SUM(AD127:AD142)</f>
        <v>104000</v>
      </c>
      <c r="AE143" s="166">
        <f>SUM(AE128:AE142)</f>
        <v>0</v>
      </c>
      <c r="AF143" s="166">
        <f>SUM(AF127:AF142)</f>
        <v>1721745</v>
      </c>
      <c r="AG143" s="166">
        <f>SUM(AG127:AG142)</f>
        <v>13</v>
      </c>
      <c r="AH143" s="166" t="s">
        <v>1</v>
      </c>
      <c r="AI143" s="166" t="s">
        <v>1</v>
      </c>
      <c r="AJ143" s="166">
        <f>SUM(AJ127:AJ142)</f>
        <v>1617745</v>
      </c>
      <c r="AK143" s="166">
        <f>SUM(AK127:AK142)</f>
        <v>104000</v>
      </c>
      <c r="AL143" s="166">
        <f>SUM(AL128:AL142)</f>
        <v>0</v>
      </c>
      <c r="AM143" s="166">
        <f>SUM(AM127:AM142)</f>
        <v>1721745</v>
      </c>
    </row>
    <row r="144" spans="1:39" s="4" customFormat="1" ht="13.5">
      <c r="A144" s="157"/>
      <c r="B144" s="184"/>
      <c r="C144" s="184"/>
      <c r="D144" s="184"/>
      <c r="E144" s="164"/>
      <c r="F144" s="164"/>
      <c r="G144" s="63"/>
      <c r="H144" s="164"/>
      <c r="I144" s="164"/>
      <c r="J144" s="164"/>
      <c r="K144" s="164"/>
      <c r="L144" s="164"/>
      <c r="M144" s="164"/>
      <c r="N144" s="63"/>
      <c r="O144" s="41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63"/>
      <c r="AA144" s="414"/>
      <c r="AB144" s="164"/>
      <c r="AC144" s="164"/>
      <c r="AD144" s="164"/>
      <c r="AE144" s="164"/>
      <c r="AF144" s="164"/>
      <c r="AG144" s="63"/>
      <c r="AH144" s="164"/>
      <c r="AI144" s="164"/>
      <c r="AJ144" s="164"/>
      <c r="AK144" s="164"/>
      <c r="AL144" s="164"/>
      <c r="AM144" s="164"/>
    </row>
    <row r="145" spans="1:39" s="325" customFormat="1" ht="30" customHeight="1">
      <c r="A145" s="323"/>
      <c r="B145" s="324" t="s">
        <v>157</v>
      </c>
      <c r="C145" s="324"/>
      <c r="D145" s="324"/>
      <c r="E145" s="226" t="s">
        <v>1</v>
      </c>
      <c r="F145" s="226" t="s">
        <v>1</v>
      </c>
      <c r="G145" s="226">
        <f>+G143+G125+G27+G14</f>
        <v>98</v>
      </c>
      <c r="H145" s="226" t="s">
        <v>1</v>
      </c>
      <c r="I145" s="226" t="s">
        <v>1</v>
      </c>
      <c r="J145" s="226">
        <f>+J143+J125+J27+J14</f>
        <v>29230161</v>
      </c>
      <c r="K145" s="226">
        <f>+K143+K125+K27+K14</f>
        <v>784000</v>
      </c>
      <c r="L145" s="226">
        <f>+L143+L125+L27+L14</f>
        <v>380806.39999999997</v>
      </c>
      <c r="M145" s="226">
        <f>+M143+M125+M27+M14</f>
        <v>30394967.400000006</v>
      </c>
      <c r="N145" s="226">
        <f>+N143+N125+N27+N14</f>
        <v>98</v>
      </c>
      <c r="O145" s="226"/>
      <c r="P145" s="226" t="s">
        <v>1</v>
      </c>
      <c r="Q145" s="226">
        <f aca="true" t="shared" si="58" ref="Q145:Z145">+Q143+Q125+Q27+Q14</f>
        <v>29049617</v>
      </c>
      <c r="R145" s="226">
        <f t="shared" si="58"/>
        <v>784000</v>
      </c>
      <c r="S145" s="226">
        <f t="shared" si="58"/>
        <v>379766.39999999997</v>
      </c>
      <c r="T145" s="226">
        <f t="shared" si="58"/>
        <v>30213383.400000006</v>
      </c>
      <c r="U145" s="226">
        <f t="shared" si="58"/>
        <v>98</v>
      </c>
      <c r="V145" s="226">
        <f t="shared" si="58"/>
        <v>180543.99999999997</v>
      </c>
      <c r="W145" s="226">
        <f t="shared" si="58"/>
        <v>0</v>
      </c>
      <c r="X145" s="226">
        <f t="shared" si="58"/>
        <v>1040</v>
      </c>
      <c r="Y145" s="226">
        <f t="shared" si="58"/>
        <v>181583.99999999997</v>
      </c>
      <c r="Z145" s="226">
        <f t="shared" si="58"/>
        <v>98</v>
      </c>
      <c r="AA145" s="417" t="s">
        <v>1</v>
      </c>
      <c r="AB145" s="226" t="s">
        <v>1</v>
      </c>
      <c r="AC145" s="226">
        <f>+AC143+AC125+AC27+AC14</f>
        <v>29508881</v>
      </c>
      <c r="AD145" s="226">
        <f>+AD143+AD125+AD27+AD14</f>
        <v>784000</v>
      </c>
      <c r="AE145" s="226">
        <f>+AE143+AE125+AE27+AE14</f>
        <v>381721.6</v>
      </c>
      <c r="AF145" s="226">
        <f>+AF143+AF125+AF27+AF14</f>
        <v>30674602.600000005</v>
      </c>
      <c r="AG145" s="226">
        <f>+AG143+AG125+AG27+AG14</f>
        <v>98</v>
      </c>
      <c r="AH145" s="226" t="s">
        <v>1</v>
      </c>
      <c r="AI145" s="226" t="s">
        <v>1</v>
      </c>
      <c r="AJ145" s="226">
        <f>+AJ143+AJ125+AJ27+AJ14</f>
        <v>29984785</v>
      </c>
      <c r="AK145" s="226">
        <f>+AK143+AK125+AK27+AK14</f>
        <v>784000</v>
      </c>
      <c r="AL145" s="226">
        <f>+AL143+AL125+AL27+AL14</f>
        <v>402063.99999999994</v>
      </c>
      <c r="AM145" s="226">
        <f>+AM143+AM125+AM27+AM14</f>
        <v>31170849.000000004</v>
      </c>
    </row>
    <row r="146" spans="1:39" s="12" customFormat="1" ht="12" customHeight="1">
      <c r="A146" s="37"/>
      <c r="B146" s="332"/>
      <c r="C146" s="332"/>
      <c r="D146" s="332"/>
      <c r="E146" s="169"/>
      <c r="F146" s="37"/>
      <c r="G146" s="168"/>
      <c r="H146" s="37"/>
      <c r="I146" s="37"/>
      <c r="J146" s="37"/>
      <c r="K146" s="37"/>
      <c r="L146" s="37"/>
      <c r="M146" s="37"/>
      <c r="N146" s="168"/>
      <c r="O146" s="482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168"/>
      <c r="AA146" s="482"/>
      <c r="AB146" s="37"/>
      <c r="AC146" s="37"/>
      <c r="AD146" s="37"/>
      <c r="AE146" s="37"/>
      <c r="AF146" s="37"/>
      <c r="AG146" s="168"/>
      <c r="AH146" s="37"/>
      <c r="AI146" s="37"/>
      <c r="AJ146" s="37"/>
      <c r="AK146" s="37"/>
      <c r="AL146" s="37"/>
      <c r="AM146" s="37"/>
    </row>
    <row r="147" spans="1:27" s="4" customFormat="1" ht="13.5">
      <c r="A147" s="3"/>
      <c r="B147" s="16"/>
      <c r="C147" s="16"/>
      <c r="D147" s="16"/>
      <c r="O147" s="406"/>
      <c r="AA147" s="406"/>
    </row>
    <row r="148" spans="1:27" s="4" customFormat="1" ht="13.5">
      <c r="A148" s="3"/>
      <c r="B148" s="16" t="s">
        <v>150</v>
      </c>
      <c r="C148" s="16"/>
      <c r="D148" s="16"/>
      <c r="O148" s="406"/>
      <c r="AA148" s="406"/>
    </row>
    <row r="149" spans="1:39" s="4" customFormat="1" ht="19.5" customHeight="1">
      <c r="A149" s="3"/>
      <c r="B149" s="333" t="s">
        <v>252</v>
      </c>
      <c r="C149" s="333"/>
      <c r="D149" s="333"/>
      <c r="E149" s="121"/>
      <c r="F149" s="210"/>
      <c r="G149" s="210"/>
      <c r="H149" s="210"/>
      <c r="I149" s="210"/>
      <c r="M149" s="427">
        <f>+M145*13.499/1000</f>
        <v>410301.6649326001</v>
      </c>
      <c r="O149" s="483"/>
      <c r="P149" s="210"/>
      <c r="R149" s="484"/>
      <c r="T149" s="4">
        <f>+T145*13.33/1000</f>
        <v>402744.40072200005</v>
      </c>
      <c r="AA149" s="483"/>
      <c r="AB149" s="210"/>
      <c r="AF149" s="484">
        <f>+AF145*13.48/1000</f>
        <v>413493.6430480001</v>
      </c>
      <c r="AH149" s="210"/>
      <c r="AI149" s="210"/>
      <c r="AM149" s="4">
        <f>+AM145*14.14/1000</f>
        <v>440755.8048600001</v>
      </c>
    </row>
    <row r="150" spans="1:39" s="4" customFormat="1" ht="54" customHeight="1">
      <c r="A150" s="3"/>
      <c r="B150" s="791" t="s">
        <v>251</v>
      </c>
      <c r="C150" s="791"/>
      <c r="D150" s="791"/>
      <c r="E150" s="792"/>
      <c r="F150" s="792"/>
      <c r="G150" s="792"/>
      <c r="H150" s="792"/>
      <c r="I150" s="792"/>
      <c r="J150" s="792"/>
      <c r="K150" s="792"/>
      <c r="O150" s="406"/>
      <c r="AA150" s="406"/>
      <c r="AM150" s="4">
        <v>440337127.5133333</v>
      </c>
    </row>
    <row r="151" spans="1:35" s="4" customFormat="1" ht="19.5" customHeight="1">
      <c r="A151" s="3"/>
      <c r="B151" s="538" t="s">
        <v>571</v>
      </c>
      <c r="C151" s="538"/>
      <c r="D151" s="538"/>
      <c r="E151" s="210"/>
      <c r="F151" s="210"/>
      <c r="G151" s="210"/>
      <c r="H151" s="210"/>
      <c r="I151" s="210"/>
      <c r="O151" s="483"/>
      <c r="P151" s="210"/>
      <c r="AA151" s="483"/>
      <c r="AB151" s="210"/>
      <c r="AH151" s="210"/>
      <c r="AI151" s="210"/>
    </row>
    <row r="152" spans="1:27" s="4" customFormat="1" ht="42.75" customHeight="1">
      <c r="A152" s="3"/>
      <c r="B152" s="781" t="s">
        <v>287</v>
      </c>
      <c r="C152" s="781"/>
      <c r="D152" s="781"/>
      <c r="E152" s="781"/>
      <c r="F152" s="781"/>
      <c r="G152" s="781"/>
      <c r="H152" s="781"/>
      <c r="I152" s="781"/>
      <c r="J152" s="781"/>
      <c r="O152" s="406"/>
      <c r="AA152" s="406"/>
    </row>
    <row r="153" spans="1:27" s="4" customFormat="1" ht="22.5">
      <c r="A153" s="3"/>
      <c r="B153" s="485" t="s">
        <v>597</v>
      </c>
      <c r="C153" s="485"/>
      <c r="D153" s="485"/>
      <c r="O153" s="406"/>
      <c r="AA153" s="406"/>
    </row>
    <row r="154" spans="1:27" s="4" customFormat="1" ht="20.25">
      <c r="A154" s="3"/>
      <c r="B154" s="486" t="s">
        <v>598</v>
      </c>
      <c r="C154" s="486"/>
      <c r="D154" s="486"/>
      <c r="O154" s="406"/>
      <c r="AA154" s="406"/>
    </row>
    <row r="156" s="28" customFormat="1" ht="39" customHeight="1">
      <c r="A156" s="27"/>
    </row>
    <row r="157" s="4" customFormat="1" ht="13.5">
      <c r="A157" s="3"/>
    </row>
    <row r="158" spans="1:11" s="4" customFormat="1" ht="27.75" customHeight="1">
      <c r="A158" s="3"/>
      <c r="B158" s="121"/>
      <c r="C158" s="121"/>
      <c r="D158" s="121"/>
      <c r="E158" s="121"/>
      <c r="F158" s="121"/>
      <c r="G158" s="121"/>
      <c r="H158" s="210"/>
      <c r="I158" s="210"/>
      <c r="J158" s="210"/>
      <c r="K158" s="210"/>
    </row>
    <row r="159" spans="1:13" s="4" customFormat="1" ht="37.5" customHeight="1">
      <c r="A159" s="3"/>
      <c r="B159" s="791"/>
      <c r="C159" s="791"/>
      <c r="D159" s="791"/>
      <c r="E159" s="791"/>
      <c r="F159" s="791"/>
      <c r="G159" s="792"/>
      <c r="H159" s="792"/>
      <c r="I159" s="792"/>
      <c r="J159" s="792"/>
      <c r="K159" s="792"/>
      <c r="L159" s="792"/>
      <c r="M159" s="792"/>
    </row>
    <row r="160" spans="1:11" s="4" customFormat="1" ht="22.5" customHeight="1">
      <c r="A160" s="3"/>
      <c r="B160" s="537"/>
      <c r="C160" s="537"/>
      <c r="D160" s="537"/>
      <c r="E160" s="537"/>
      <c r="F160" s="537"/>
      <c r="G160" s="210"/>
      <c r="H160" s="210"/>
      <c r="I160" s="210"/>
      <c r="J160" s="210"/>
      <c r="K160" s="210"/>
    </row>
    <row r="161" spans="1:12" s="28" customFormat="1" ht="33" customHeight="1">
      <c r="A161" s="27"/>
      <c r="B161" s="781"/>
      <c r="C161" s="781"/>
      <c r="D161" s="781"/>
      <c r="E161" s="781"/>
      <c r="F161" s="781"/>
      <c r="G161" s="781"/>
      <c r="H161" s="781"/>
      <c r="I161" s="781"/>
      <c r="J161" s="781"/>
      <c r="K161" s="781"/>
      <c r="L161" s="781"/>
    </row>
  </sheetData>
  <sheetProtection/>
  <mergeCells count="10">
    <mergeCell ref="B161:L161"/>
    <mergeCell ref="U2:Z2"/>
    <mergeCell ref="U4:Y4"/>
    <mergeCell ref="Z4:AF4"/>
    <mergeCell ref="AG4:AM4"/>
    <mergeCell ref="B150:K150"/>
    <mergeCell ref="B152:J152"/>
    <mergeCell ref="C4:C5"/>
    <mergeCell ref="D4:D5"/>
    <mergeCell ref="B159:M159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"/>
    </sheetView>
  </sheetViews>
  <sheetFormatPr defaultColWidth="9.140625" defaultRowHeight="12.75"/>
  <cols>
    <col min="1" max="1" width="5.7109375" style="180" customWidth="1"/>
    <col min="2" max="2" width="34.140625" style="4" customWidth="1"/>
    <col min="3" max="3" width="11.140625" style="36" customWidth="1"/>
    <col min="4" max="4" width="11.28125" style="36" customWidth="1"/>
    <col min="5" max="5" width="10.57421875" style="36" customWidth="1"/>
    <col min="6" max="6" width="10.8515625" style="36" customWidth="1"/>
    <col min="7" max="7" width="12.140625" style="36" customWidth="1"/>
    <col min="8" max="8" width="15.140625" style="234" customWidth="1"/>
    <col min="9" max="9" width="17.7109375" style="234" customWidth="1"/>
    <col min="10" max="10" width="11.140625" style="36" customWidth="1"/>
    <col min="11" max="11" width="11.57421875" style="36" customWidth="1"/>
    <col min="12" max="12" width="10.421875" style="36" customWidth="1"/>
    <col min="13" max="13" width="12.7109375" style="36" customWidth="1"/>
    <col min="14" max="14" width="12.00390625" style="36" customWidth="1"/>
    <col min="15" max="16" width="16.00390625" style="234" customWidth="1"/>
    <col min="17" max="17" width="10.7109375" style="36" customWidth="1"/>
    <col min="18" max="18" width="12.57421875" style="36" customWidth="1"/>
    <col min="19" max="20" width="10.7109375" style="36" customWidth="1"/>
    <col min="21" max="21" width="11.421875" style="36" customWidth="1"/>
    <col min="22" max="22" width="13.57421875" style="234" customWidth="1"/>
    <col min="23" max="23" width="15.140625" style="234" customWidth="1"/>
    <col min="24" max="24" width="11.140625" style="36" customWidth="1"/>
    <col min="25" max="25" width="12.57421875" style="36" customWidth="1"/>
    <col min="26" max="27" width="11.140625" style="36" customWidth="1"/>
    <col min="28" max="28" width="11.8515625" style="36" customWidth="1"/>
    <col min="29" max="29" width="14.140625" style="234" customWidth="1"/>
    <col min="30" max="30" width="15.57421875" style="234" customWidth="1"/>
    <col min="31" max="31" width="11.140625" style="36" customWidth="1"/>
    <col min="32" max="32" width="13.28125" style="36" customWidth="1"/>
    <col min="33" max="35" width="11.140625" style="36" customWidth="1"/>
    <col min="36" max="36" width="13.8515625" style="234" customWidth="1"/>
    <col min="37" max="37" width="15.7109375" style="234" customWidth="1"/>
    <col min="38" max="16384" width="9.140625" style="36" customWidth="1"/>
  </cols>
  <sheetData>
    <row r="1" spans="1:37" s="4" customFormat="1" ht="24.75" customHeight="1">
      <c r="A1" s="27"/>
      <c r="B1" s="250" t="s">
        <v>194</v>
      </c>
      <c r="C1" s="28"/>
      <c r="D1" s="28"/>
      <c r="E1" s="28"/>
      <c r="F1" s="28"/>
      <c r="G1" s="28"/>
      <c r="H1" s="171"/>
      <c r="I1" s="171"/>
      <c r="J1" s="27"/>
      <c r="K1" s="85" t="s">
        <v>474</v>
      </c>
      <c r="L1" s="28"/>
      <c r="M1" s="209"/>
      <c r="N1" s="120"/>
      <c r="O1" s="171"/>
      <c r="P1" s="171"/>
      <c r="Q1" s="18"/>
      <c r="R1" s="18"/>
      <c r="S1" s="18"/>
      <c r="T1" s="18"/>
      <c r="U1" s="120"/>
      <c r="V1" s="171"/>
      <c r="W1" s="171"/>
      <c r="X1" s="120"/>
      <c r="Y1" s="120"/>
      <c r="Z1" s="120"/>
      <c r="AA1" s="120"/>
      <c r="AB1" s="120"/>
      <c r="AC1" s="171"/>
      <c r="AD1" s="171"/>
      <c r="AE1" s="120"/>
      <c r="AF1" s="120"/>
      <c r="AG1" s="120"/>
      <c r="AH1" s="120"/>
      <c r="AI1" s="120"/>
      <c r="AJ1" s="171"/>
      <c r="AK1" s="171"/>
    </row>
    <row r="2" spans="1:37" s="4" customFormat="1" ht="23.25" customHeight="1" thickBot="1">
      <c r="A2" s="27"/>
      <c r="B2" s="19" t="s">
        <v>340</v>
      </c>
      <c r="C2" s="117"/>
      <c r="D2" s="117"/>
      <c r="E2" s="117"/>
      <c r="F2" s="117"/>
      <c r="G2" s="117"/>
      <c r="H2" s="232"/>
      <c r="I2" s="232"/>
      <c r="K2" s="240" t="s">
        <v>9</v>
      </c>
      <c r="L2" s="100"/>
      <c r="M2" s="100"/>
      <c r="N2" s="100"/>
      <c r="O2" s="232"/>
      <c r="P2" s="232"/>
      <c r="Q2" s="100"/>
      <c r="R2" s="100"/>
      <c r="S2" s="100"/>
      <c r="T2" s="100"/>
      <c r="U2" s="100"/>
      <c r="V2" s="232"/>
      <c r="W2" s="232"/>
      <c r="X2" s="7"/>
      <c r="Y2" s="7"/>
      <c r="Z2" s="7"/>
      <c r="AA2" s="7"/>
      <c r="AB2" s="7"/>
      <c r="AC2" s="232"/>
      <c r="AD2" s="232"/>
      <c r="AE2" s="7"/>
      <c r="AF2" s="7"/>
      <c r="AG2" s="7"/>
      <c r="AH2" s="7"/>
      <c r="AI2" s="7"/>
      <c r="AJ2" s="232"/>
      <c r="AK2" s="232"/>
    </row>
    <row r="3" spans="1:37" s="121" customFormat="1" ht="14.25">
      <c r="A3" s="27"/>
      <c r="B3" s="241" t="s">
        <v>10</v>
      </c>
      <c r="C3" s="86"/>
      <c r="D3" s="86"/>
      <c r="E3" s="28"/>
      <c r="F3" s="86"/>
      <c r="G3" s="28"/>
      <c r="H3" s="171"/>
      <c r="I3" s="171"/>
      <c r="J3" s="28"/>
      <c r="K3" s="120"/>
      <c r="L3" s="31"/>
      <c r="M3" s="28"/>
      <c r="N3" s="28"/>
      <c r="O3" s="171"/>
      <c r="P3" s="171"/>
      <c r="Q3" s="120"/>
      <c r="R3" s="120"/>
      <c r="S3" s="120"/>
      <c r="T3" s="120"/>
      <c r="U3" s="31"/>
      <c r="V3" s="171"/>
      <c r="W3" s="171"/>
      <c r="X3" s="86"/>
      <c r="Y3" s="86"/>
      <c r="Z3" s="86"/>
      <c r="AA3" s="86"/>
      <c r="AB3" s="28"/>
      <c r="AC3" s="171"/>
      <c r="AD3" s="171"/>
      <c r="AE3" s="86"/>
      <c r="AF3" s="86"/>
      <c r="AG3" s="86"/>
      <c r="AH3" s="86"/>
      <c r="AI3" s="28"/>
      <c r="AJ3" s="171"/>
      <c r="AK3" s="171"/>
    </row>
    <row r="4" spans="1:37" s="121" customFormat="1" ht="14.25">
      <c r="A4" s="27"/>
      <c r="B4" s="119"/>
      <c r="C4" s="86"/>
      <c r="D4" s="86"/>
      <c r="E4" s="28"/>
      <c r="F4" s="86"/>
      <c r="G4" s="119"/>
      <c r="H4" s="233"/>
      <c r="I4" s="233"/>
      <c r="J4" s="28"/>
      <c r="K4" s="28"/>
      <c r="L4" s="37" t="s">
        <v>138</v>
      </c>
      <c r="M4" s="28"/>
      <c r="N4" s="28"/>
      <c r="O4" s="233"/>
      <c r="P4" s="233"/>
      <c r="Q4" s="31"/>
      <c r="R4" s="31"/>
      <c r="S4" s="31"/>
      <c r="T4" s="31"/>
      <c r="U4" s="120"/>
      <c r="V4" s="233"/>
      <c r="W4" s="233"/>
      <c r="X4" s="86"/>
      <c r="Y4" s="86"/>
      <c r="Z4" s="86"/>
      <c r="AA4" s="86"/>
      <c r="AB4" s="119"/>
      <c r="AC4" s="233"/>
      <c r="AD4" s="233"/>
      <c r="AE4" s="86"/>
      <c r="AF4" s="86"/>
      <c r="AG4" s="86"/>
      <c r="AH4" s="86"/>
      <c r="AI4" s="119"/>
      <c r="AJ4" s="233"/>
      <c r="AK4" s="233"/>
    </row>
    <row r="5" spans="1:37" s="235" customFormat="1" ht="21.75" customHeight="1">
      <c r="A5" s="176"/>
      <c r="B5" s="236"/>
      <c r="C5" s="172"/>
      <c r="D5" s="173" t="s">
        <v>596</v>
      </c>
      <c r="E5" s="173"/>
      <c r="F5" s="230"/>
      <c r="G5" s="173"/>
      <c r="H5" s="245"/>
      <c r="I5" s="173"/>
      <c r="J5" s="782">
        <v>2024</v>
      </c>
      <c r="K5" s="783"/>
      <c r="L5" s="783"/>
      <c r="M5" s="783"/>
      <c r="N5" s="784"/>
      <c r="O5" s="245"/>
      <c r="P5" s="173"/>
      <c r="Q5" s="247" t="s">
        <v>139</v>
      </c>
      <c r="R5" s="248"/>
      <c r="S5" s="248"/>
      <c r="T5" s="248"/>
      <c r="U5" s="249"/>
      <c r="V5" s="245"/>
      <c r="W5" s="245"/>
      <c r="X5" s="513"/>
      <c r="Y5" s="248"/>
      <c r="Z5" s="248"/>
      <c r="AA5" s="248"/>
      <c r="AB5" s="249">
        <v>2026</v>
      </c>
      <c r="AC5" s="248"/>
      <c r="AD5" s="248"/>
      <c r="AE5" s="782">
        <v>2027</v>
      </c>
      <c r="AF5" s="783"/>
      <c r="AG5" s="783"/>
      <c r="AH5" s="783"/>
      <c r="AI5" s="783"/>
      <c r="AJ5" s="784"/>
      <c r="AK5" s="525"/>
    </row>
    <row r="6" spans="1:37" ht="99.75">
      <c r="A6" s="177"/>
      <c r="B6" s="178"/>
      <c r="C6" s="44" t="s">
        <v>135</v>
      </c>
      <c r="D6" s="44" t="s">
        <v>152</v>
      </c>
      <c r="E6" s="44" t="s">
        <v>153</v>
      </c>
      <c r="F6" s="44" t="s">
        <v>144</v>
      </c>
      <c r="G6" s="44" t="s">
        <v>155</v>
      </c>
      <c r="H6" s="231" t="s">
        <v>175</v>
      </c>
      <c r="I6" s="529" t="s">
        <v>568</v>
      </c>
      <c r="J6" s="45" t="s">
        <v>135</v>
      </c>
      <c r="K6" s="44" t="s">
        <v>152</v>
      </c>
      <c r="L6" s="44" t="s">
        <v>153</v>
      </c>
      <c r="M6" s="44" t="s">
        <v>144</v>
      </c>
      <c r="N6" s="44" t="s">
        <v>155</v>
      </c>
      <c r="O6" s="231" t="s">
        <v>175</v>
      </c>
      <c r="P6" s="529" t="s">
        <v>568</v>
      </c>
      <c r="Q6" s="45" t="s">
        <v>173</v>
      </c>
      <c r="R6" s="44" t="s">
        <v>152</v>
      </c>
      <c r="S6" s="44" t="s">
        <v>153</v>
      </c>
      <c r="T6" s="44" t="s">
        <v>144</v>
      </c>
      <c r="U6" s="45" t="s">
        <v>174</v>
      </c>
      <c r="V6" s="231" t="s">
        <v>175</v>
      </c>
      <c r="W6" s="529" t="s">
        <v>568</v>
      </c>
      <c r="X6" s="45" t="s">
        <v>135</v>
      </c>
      <c r="Y6" s="44" t="s">
        <v>152</v>
      </c>
      <c r="Z6" s="44" t="s">
        <v>153</v>
      </c>
      <c r="AA6" s="44" t="s">
        <v>144</v>
      </c>
      <c r="AB6" s="45" t="s">
        <v>155</v>
      </c>
      <c r="AC6" s="231" t="s">
        <v>175</v>
      </c>
      <c r="AD6" s="529" t="s">
        <v>568</v>
      </c>
      <c r="AE6" s="45" t="s">
        <v>135</v>
      </c>
      <c r="AF6" s="44" t="s">
        <v>152</v>
      </c>
      <c r="AG6" s="44" t="s">
        <v>153</v>
      </c>
      <c r="AH6" s="44" t="s">
        <v>144</v>
      </c>
      <c r="AI6" s="45" t="s">
        <v>155</v>
      </c>
      <c r="AJ6" s="231" t="s">
        <v>175</v>
      </c>
      <c r="AK6" s="526" t="s">
        <v>568</v>
      </c>
    </row>
    <row r="7" spans="1:37" s="12" customFormat="1" ht="12.7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530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530">
        <v>8</v>
      </c>
      <c r="Q7" s="45">
        <v>15</v>
      </c>
      <c r="R7" s="45">
        <v>16</v>
      </c>
      <c r="S7" s="45">
        <v>17</v>
      </c>
      <c r="T7" s="45">
        <v>18</v>
      </c>
      <c r="U7" s="45">
        <v>19</v>
      </c>
      <c r="V7" s="45">
        <v>20</v>
      </c>
      <c r="W7" s="530">
        <v>8</v>
      </c>
      <c r="X7" s="45">
        <v>21</v>
      </c>
      <c r="Y7" s="45">
        <v>22</v>
      </c>
      <c r="Z7" s="45">
        <v>23</v>
      </c>
      <c r="AA7" s="45">
        <v>24</v>
      </c>
      <c r="AB7" s="45">
        <v>25</v>
      </c>
      <c r="AC7" s="45">
        <v>26</v>
      </c>
      <c r="AD7" s="530">
        <v>8</v>
      </c>
      <c r="AE7" s="45">
        <v>27</v>
      </c>
      <c r="AF7" s="45">
        <v>28</v>
      </c>
      <c r="AG7" s="45">
        <v>29</v>
      </c>
      <c r="AH7" s="45">
        <v>30</v>
      </c>
      <c r="AI7" s="45">
        <v>31</v>
      </c>
      <c r="AJ7" s="45">
        <v>32</v>
      </c>
      <c r="AK7" s="527">
        <v>8</v>
      </c>
    </row>
    <row r="8" spans="1:37" ht="78.75" customHeight="1">
      <c r="A8" s="162">
        <v>1</v>
      </c>
      <c r="B8" s="163" t="s">
        <v>250</v>
      </c>
      <c r="C8" s="157">
        <v>3</v>
      </c>
      <c r="D8" s="157">
        <v>2163200</v>
      </c>
      <c r="E8" s="157"/>
      <c r="F8" s="157">
        <v>24000</v>
      </c>
      <c r="G8" s="164">
        <f aca="true" t="shared" si="0" ref="G8:G19">D8+F8+E8</f>
        <v>2187200</v>
      </c>
      <c r="H8" s="170">
        <f>G8*13.166</f>
        <v>28796675.2</v>
      </c>
      <c r="I8" s="528">
        <f>D8*13</f>
        <v>28121600</v>
      </c>
      <c r="J8" s="157">
        <v>3</v>
      </c>
      <c r="K8" s="157">
        <v>2163200</v>
      </c>
      <c r="L8" s="157"/>
      <c r="M8" s="157">
        <v>24000</v>
      </c>
      <c r="N8" s="164">
        <f>K8+L8+M8</f>
        <v>2187200</v>
      </c>
      <c r="O8" s="170">
        <f>N8*13</f>
        <v>28433600</v>
      </c>
      <c r="P8" s="528">
        <f>K8*13</f>
        <v>28121600</v>
      </c>
      <c r="Q8" s="164">
        <f aca="true" t="shared" si="1" ref="Q8:Q19">C8-J8</f>
        <v>0</v>
      </c>
      <c r="R8" s="164">
        <f aca="true" t="shared" si="2" ref="R8:R19">D8-K8</f>
        <v>0</v>
      </c>
      <c r="S8" s="164">
        <f aca="true" t="shared" si="3" ref="S8:S19">E8-L8</f>
        <v>0</v>
      </c>
      <c r="T8" s="164">
        <f aca="true" t="shared" si="4" ref="T8:T19">F8-M8</f>
        <v>0</v>
      </c>
      <c r="U8" s="164">
        <f aca="true" t="shared" si="5" ref="U8:U19">G8-N8</f>
        <v>0</v>
      </c>
      <c r="V8" s="170">
        <f>+H8-O8</f>
        <v>363075.19999999925</v>
      </c>
      <c r="W8" s="528">
        <f>+H8-P8</f>
        <v>675075.1999999993</v>
      </c>
      <c r="X8" s="157">
        <v>3</v>
      </c>
      <c r="Y8" s="157">
        <v>2163200</v>
      </c>
      <c r="Z8" s="157"/>
      <c r="AA8" s="157">
        <v>24000</v>
      </c>
      <c r="AB8" s="164">
        <f>Y8+Z8+AA8</f>
        <v>2187200</v>
      </c>
      <c r="AC8" s="170">
        <f>AB8*13.15</f>
        <v>28761680</v>
      </c>
      <c r="AD8" s="528">
        <f>Y8*13</f>
        <v>28121600</v>
      </c>
      <c r="AE8" s="157">
        <v>3</v>
      </c>
      <c r="AF8" s="157">
        <v>2163200</v>
      </c>
      <c r="AG8" s="157"/>
      <c r="AH8" s="157">
        <v>24000</v>
      </c>
      <c r="AI8" s="164">
        <f>AF8+AG8+AH8</f>
        <v>2187200</v>
      </c>
      <c r="AJ8" s="170">
        <f>AI8*13.8</f>
        <v>30183360</v>
      </c>
      <c r="AK8" s="528">
        <f>AF8*13</f>
        <v>28121600</v>
      </c>
    </row>
    <row r="9" spans="1:37" ht="40.5">
      <c r="A9" s="162">
        <v>2</v>
      </c>
      <c r="B9" s="163" t="s">
        <v>257</v>
      </c>
      <c r="C9" s="157">
        <v>7</v>
      </c>
      <c r="D9" s="179">
        <v>2433600</v>
      </c>
      <c r="E9" s="179"/>
      <c r="F9" s="179">
        <v>56000</v>
      </c>
      <c r="G9" s="164">
        <f t="shared" si="0"/>
        <v>2489600</v>
      </c>
      <c r="H9" s="170">
        <f>G9*13.166</f>
        <v>32778073.6</v>
      </c>
      <c r="I9" s="528">
        <f>D9*13</f>
        <v>31636800</v>
      </c>
      <c r="J9" s="157">
        <v>7</v>
      </c>
      <c r="K9" s="179">
        <v>2433600</v>
      </c>
      <c r="L9" s="179"/>
      <c r="M9" s="179">
        <v>56000</v>
      </c>
      <c r="N9" s="164">
        <f aca="true" t="shared" si="6" ref="N9:N18">K9+L9+M9</f>
        <v>2489600</v>
      </c>
      <c r="O9" s="170">
        <f>N9*13</f>
        <v>32364800</v>
      </c>
      <c r="P9" s="528">
        <f aca="true" t="shared" si="7" ref="P9:P17">K9*13</f>
        <v>31636800</v>
      </c>
      <c r="Q9" s="164">
        <f t="shared" si="1"/>
        <v>0</v>
      </c>
      <c r="R9" s="164">
        <f t="shared" si="2"/>
        <v>0</v>
      </c>
      <c r="S9" s="164">
        <f t="shared" si="3"/>
        <v>0</v>
      </c>
      <c r="T9" s="164">
        <f t="shared" si="4"/>
        <v>0</v>
      </c>
      <c r="U9" s="164">
        <f t="shared" si="5"/>
        <v>0</v>
      </c>
      <c r="V9" s="170">
        <f aca="true" t="shared" si="8" ref="V9:V19">+H9-O9</f>
        <v>413273.6000000015</v>
      </c>
      <c r="W9" s="528">
        <f aca="true" t="shared" si="9" ref="W9:W17">+H9-P9</f>
        <v>1141273.6000000015</v>
      </c>
      <c r="X9" s="157">
        <v>7</v>
      </c>
      <c r="Y9" s="179">
        <v>2433600</v>
      </c>
      <c r="Z9" s="157"/>
      <c r="AA9" s="157">
        <v>56000</v>
      </c>
      <c r="AB9" s="164">
        <f aca="true" t="shared" si="10" ref="AB9:AB19">Y9+Z9+AA9</f>
        <v>2489600</v>
      </c>
      <c r="AC9" s="170">
        <f>AB9*13.15</f>
        <v>32738240</v>
      </c>
      <c r="AD9" s="528">
        <f aca="true" t="shared" si="11" ref="AD9:AD17">Y9*13</f>
        <v>31636800</v>
      </c>
      <c r="AE9" s="157">
        <v>7</v>
      </c>
      <c r="AF9" s="179">
        <v>2433600</v>
      </c>
      <c r="AG9" s="157"/>
      <c r="AH9" s="157">
        <v>56000</v>
      </c>
      <c r="AI9" s="164">
        <f aca="true" t="shared" si="12" ref="AI9:AI19">AF9+AG9+AH9</f>
        <v>2489600</v>
      </c>
      <c r="AJ9" s="170">
        <f>AI9*13.8</f>
        <v>34356480</v>
      </c>
      <c r="AK9" s="528">
        <f aca="true" t="shared" si="13" ref="AK9:AK17">AF9*13</f>
        <v>31636800</v>
      </c>
    </row>
    <row r="10" spans="1:37" ht="18" customHeight="1">
      <c r="A10" s="162">
        <v>3</v>
      </c>
      <c r="B10" s="163" t="s">
        <v>154</v>
      </c>
      <c r="C10" s="157"/>
      <c r="D10" s="179"/>
      <c r="E10" s="179"/>
      <c r="F10" s="179"/>
      <c r="G10" s="164">
        <f t="shared" si="0"/>
        <v>0</v>
      </c>
      <c r="H10" s="170">
        <f aca="true" t="shared" si="14" ref="H10:H15">G10*13</f>
        <v>0</v>
      </c>
      <c r="I10" s="528">
        <f>D10*13.67305</f>
        <v>0</v>
      </c>
      <c r="J10" s="157"/>
      <c r="K10" s="179"/>
      <c r="L10" s="179"/>
      <c r="M10" s="179"/>
      <c r="N10" s="164">
        <f t="shared" si="6"/>
        <v>0</v>
      </c>
      <c r="O10" s="170">
        <f aca="true" t="shared" si="15" ref="O10:O18">N10*13</f>
        <v>0</v>
      </c>
      <c r="P10" s="528">
        <f t="shared" si="7"/>
        <v>0</v>
      </c>
      <c r="Q10" s="164">
        <f t="shared" si="1"/>
        <v>0</v>
      </c>
      <c r="R10" s="164">
        <f t="shared" si="2"/>
        <v>0</v>
      </c>
      <c r="S10" s="164">
        <f t="shared" si="3"/>
        <v>0</v>
      </c>
      <c r="T10" s="164">
        <f t="shared" si="4"/>
        <v>0</v>
      </c>
      <c r="U10" s="164">
        <f t="shared" si="5"/>
        <v>0</v>
      </c>
      <c r="V10" s="170">
        <f t="shared" si="8"/>
        <v>0</v>
      </c>
      <c r="W10" s="528">
        <f t="shared" si="9"/>
        <v>0</v>
      </c>
      <c r="X10" s="157"/>
      <c r="Y10" s="157"/>
      <c r="Z10" s="157"/>
      <c r="AA10" s="157"/>
      <c r="AB10" s="164">
        <f t="shared" si="10"/>
        <v>0</v>
      </c>
      <c r="AC10" s="170">
        <f aca="true" t="shared" si="16" ref="AC10:AC18">AB10*13</f>
        <v>0</v>
      </c>
      <c r="AD10" s="528">
        <f t="shared" si="11"/>
        <v>0</v>
      </c>
      <c r="AE10" s="157"/>
      <c r="AF10" s="157"/>
      <c r="AG10" s="157"/>
      <c r="AH10" s="157"/>
      <c r="AI10" s="164">
        <f t="shared" si="12"/>
        <v>0</v>
      </c>
      <c r="AJ10" s="170">
        <f aca="true" t="shared" si="17" ref="AJ10:AJ18">AI10*13</f>
        <v>0</v>
      </c>
      <c r="AK10" s="528">
        <f t="shared" si="13"/>
        <v>0</v>
      </c>
    </row>
    <row r="11" spans="1:37" ht="21" customHeight="1">
      <c r="A11" s="162">
        <v>4</v>
      </c>
      <c r="B11" s="163" t="s">
        <v>156</v>
      </c>
      <c r="C11" s="157"/>
      <c r="D11" s="179"/>
      <c r="E11" s="179"/>
      <c r="F11" s="179"/>
      <c r="G11" s="164">
        <f t="shared" si="0"/>
        <v>0</v>
      </c>
      <c r="H11" s="170">
        <f t="shared" si="14"/>
        <v>0</v>
      </c>
      <c r="I11" s="528">
        <f>D11*13.67305</f>
        <v>0</v>
      </c>
      <c r="J11" s="157"/>
      <c r="K11" s="179"/>
      <c r="L11" s="179"/>
      <c r="M11" s="179"/>
      <c r="N11" s="164">
        <f t="shared" si="6"/>
        <v>0</v>
      </c>
      <c r="O11" s="170">
        <f t="shared" si="15"/>
        <v>0</v>
      </c>
      <c r="P11" s="528">
        <f t="shared" si="7"/>
        <v>0</v>
      </c>
      <c r="Q11" s="164">
        <f t="shared" si="1"/>
        <v>0</v>
      </c>
      <c r="R11" s="164">
        <f t="shared" si="2"/>
        <v>0</v>
      </c>
      <c r="S11" s="164">
        <f t="shared" si="3"/>
        <v>0</v>
      </c>
      <c r="T11" s="164">
        <f t="shared" si="4"/>
        <v>0</v>
      </c>
      <c r="U11" s="164">
        <f t="shared" si="5"/>
        <v>0</v>
      </c>
      <c r="V11" s="170">
        <f t="shared" si="8"/>
        <v>0</v>
      </c>
      <c r="W11" s="528">
        <f t="shared" si="9"/>
        <v>0</v>
      </c>
      <c r="X11" s="157"/>
      <c r="Y11" s="157"/>
      <c r="Z11" s="157"/>
      <c r="AA11" s="157"/>
      <c r="AB11" s="164">
        <f t="shared" si="10"/>
        <v>0</v>
      </c>
      <c r="AC11" s="170">
        <f t="shared" si="16"/>
        <v>0</v>
      </c>
      <c r="AD11" s="528">
        <f t="shared" si="11"/>
        <v>0</v>
      </c>
      <c r="AE11" s="157"/>
      <c r="AF11" s="157"/>
      <c r="AG11" s="157"/>
      <c r="AH11" s="157"/>
      <c r="AI11" s="164">
        <f t="shared" si="12"/>
        <v>0</v>
      </c>
      <c r="AJ11" s="170">
        <f t="shared" si="17"/>
        <v>0</v>
      </c>
      <c r="AK11" s="528">
        <f t="shared" si="13"/>
        <v>0</v>
      </c>
    </row>
    <row r="12" spans="1:37" ht="19.5" customHeight="1">
      <c r="A12" s="162">
        <v>5</v>
      </c>
      <c r="B12" s="163" t="s">
        <v>475</v>
      </c>
      <c r="C12" s="157"/>
      <c r="D12" s="179"/>
      <c r="E12" s="179"/>
      <c r="F12" s="179"/>
      <c r="G12" s="164">
        <f t="shared" si="0"/>
        <v>0</v>
      </c>
      <c r="H12" s="170">
        <f t="shared" si="14"/>
        <v>0</v>
      </c>
      <c r="I12" s="528">
        <f>D12*13.67305</f>
        <v>0</v>
      </c>
      <c r="J12" s="157"/>
      <c r="K12" s="179"/>
      <c r="L12" s="179"/>
      <c r="M12" s="179"/>
      <c r="N12" s="164">
        <f t="shared" si="6"/>
        <v>0</v>
      </c>
      <c r="O12" s="170">
        <f t="shared" si="15"/>
        <v>0</v>
      </c>
      <c r="P12" s="528">
        <f t="shared" si="7"/>
        <v>0</v>
      </c>
      <c r="Q12" s="164">
        <f t="shared" si="1"/>
        <v>0</v>
      </c>
      <c r="R12" s="164">
        <f t="shared" si="2"/>
        <v>0</v>
      </c>
      <c r="S12" s="164">
        <f t="shared" si="3"/>
        <v>0</v>
      </c>
      <c r="T12" s="164">
        <f t="shared" si="4"/>
        <v>0</v>
      </c>
      <c r="U12" s="164">
        <f t="shared" si="5"/>
        <v>0</v>
      </c>
      <c r="V12" s="170">
        <f t="shared" si="8"/>
        <v>0</v>
      </c>
      <c r="W12" s="528">
        <f t="shared" si="9"/>
        <v>0</v>
      </c>
      <c r="X12" s="157"/>
      <c r="Y12" s="157"/>
      <c r="Z12" s="157"/>
      <c r="AA12" s="157"/>
      <c r="AB12" s="164">
        <f t="shared" si="10"/>
        <v>0</v>
      </c>
      <c r="AC12" s="170">
        <f t="shared" si="16"/>
        <v>0</v>
      </c>
      <c r="AD12" s="528">
        <f t="shared" si="11"/>
        <v>0</v>
      </c>
      <c r="AE12" s="157"/>
      <c r="AF12" s="157"/>
      <c r="AG12" s="157"/>
      <c r="AH12" s="157"/>
      <c r="AI12" s="164">
        <f t="shared" si="12"/>
        <v>0</v>
      </c>
      <c r="AJ12" s="170">
        <f t="shared" si="17"/>
        <v>0</v>
      </c>
      <c r="AK12" s="528">
        <f t="shared" si="13"/>
        <v>0</v>
      </c>
    </row>
    <row r="13" spans="1:37" ht="28.5" customHeight="1">
      <c r="A13" s="162">
        <v>6</v>
      </c>
      <c r="B13" s="163" t="s">
        <v>476</v>
      </c>
      <c r="C13" s="163"/>
      <c r="D13" s="179"/>
      <c r="E13" s="179"/>
      <c r="F13" s="179"/>
      <c r="G13" s="164">
        <f t="shared" si="0"/>
        <v>0</v>
      </c>
      <c r="H13" s="170">
        <f t="shared" si="14"/>
        <v>0</v>
      </c>
      <c r="I13" s="528">
        <f>D13*13.67305</f>
        <v>0</v>
      </c>
      <c r="J13" s="157"/>
      <c r="K13" s="179"/>
      <c r="L13" s="179"/>
      <c r="M13" s="179"/>
      <c r="N13" s="164">
        <f t="shared" si="6"/>
        <v>0</v>
      </c>
      <c r="O13" s="170">
        <f t="shared" si="15"/>
        <v>0</v>
      </c>
      <c r="P13" s="528">
        <f t="shared" si="7"/>
        <v>0</v>
      </c>
      <c r="Q13" s="164">
        <f t="shared" si="1"/>
        <v>0</v>
      </c>
      <c r="R13" s="164">
        <f t="shared" si="2"/>
        <v>0</v>
      </c>
      <c r="S13" s="164">
        <f t="shared" si="3"/>
        <v>0</v>
      </c>
      <c r="T13" s="164">
        <f t="shared" si="4"/>
        <v>0</v>
      </c>
      <c r="U13" s="164">
        <f t="shared" si="5"/>
        <v>0</v>
      </c>
      <c r="V13" s="170">
        <f t="shared" si="8"/>
        <v>0</v>
      </c>
      <c r="W13" s="528">
        <f t="shared" si="9"/>
        <v>0</v>
      </c>
      <c r="X13" s="157"/>
      <c r="Y13" s="157"/>
      <c r="Z13" s="157"/>
      <c r="AA13" s="157"/>
      <c r="AB13" s="164">
        <f t="shared" si="10"/>
        <v>0</v>
      </c>
      <c r="AC13" s="170">
        <f t="shared" si="16"/>
        <v>0</v>
      </c>
      <c r="AD13" s="528">
        <f t="shared" si="11"/>
        <v>0</v>
      </c>
      <c r="AE13" s="157"/>
      <c r="AF13" s="157"/>
      <c r="AG13" s="157"/>
      <c r="AH13" s="157"/>
      <c r="AI13" s="164">
        <f t="shared" si="12"/>
        <v>0</v>
      </c>
      <c r="AJ13" s="170">
        <f t="shared" si="17"/>
        <v>0</v>
      </c>
      <c r="AK13" s="528">
        <f t="shared" si="13"/>
        <v>0</v>
      </c>
    </row>
    <row r="14" spans="1:37" ht="28.5" customHeight="1">
      <c r="A14" s="162">
        <v>7</v>
      </c>
      <c r="B14" s="163" t="s">
        <v>193</v>
      </c>
      <c r="C14" s="157">
        <v>75</v>
      </c>
      <c r="D14" s="179">
        <v>23015616</v>
      </c>
      <c r="E14" s="179">
        <v>380806.39999999997</v>
      </c>
      <c r="F14" s="179">
        <v>600000</v>
      </c>
      <c r="G14" s="164">
        <f t="shared" si="0"/>
        <v>23996422.4</v>
      </c>
      <c r="H14" s="170">
        <f>G14*13.166</f>
        <v>315936897.31839997</v>
      </c>
      <c r="I14" s="528">
        <f aca="true" t="shared" si="18" ref="I14:I19">D14*13</f>
        <v>299203008</v>
      </c>
      <c r="J14" s="157">
        <v>75</v>
      </c>
      <c r="K14" s="179">
        <v>22835072</v>
      </c>
      <c r="L14" s="179">
        <v>379766.39999999997</v>
      </c>
      <c r="M14" s="179">
        <v>600000</v>
      </c>
      <c r="N14" s="164">
        <f t="shared" si="6"/>
        <v>23814838.4</v>
      </c>
      <c r="O14" s="170">
        <f>N14*13</f>
        <v>309592899.2</v>
      </c>
      <c r="P14" s="528">
        <f t="shared" si="7"/>
        <v>296855936</v>
      </c>
      <c r="Q14" s="164">
        <f t="shared" si="1"/>
        <v>0</v>
      </c>
      <c r="R14" s="164">
        <f t="shared" si="2"/>
        <v>180544</v>
      </c>
      <c r="S14" s="164">
        <f t="shared" si="3"/>
        <v>1040</v>
      </c>
      <c r="T14" s="164">
        <f t="shared" si="4"/>
        <v>0</v>
      </c>
      <c r="U14" s="164">
        <f t="shared" si="5"/>
        <v>181584</v>
      </c>
      <c r="V14" s="170">
        <f t="shared" si="8"/>
        <v>6343998.118399978</v>
      </c>
      <c r="W14" s="528">
        <f t="shared" si="9"/>
        <v>19080961.318399966</v>
      </c>
      <c r="X14" s="157">
        <v>75</v>
      </c>
      <c r="Y14" s="157">
        <v>23294336</v>
      </c>
      <c r="Z14" s="157">
        <v>381721.6</v>
      </c>
      <c r="AA14" s="179">
        <v>600000</v>
      </c>
      <c r="AB14" s="164">
        <f t="shared" si="10"/>
        <v>24276057.6</v>
      </c>
      <c r="AC14" s="170">
        <f>AB14*13.15</f>
        <v>319230157.44000006</v>
      </c>
      <c r="AD14" s="528">
        <f t="shared" si="11"/>
        <v>302826368</v>
      </c>
      <c r="AE14" s="157">
        <v>75</v>
      </c>
      <c r="AF14" s="157">
        <v>23770240</v>
      </c>
      <c r="AG14" s="157">
        <v>402063.99999999994</v>
      </c>
      <c r="AH14" s="157">
        <v>600000</v>
      </c>
      <c r="AI14" s="164">
        <f t="shared" si="12"/>
        <v>24772304</v>
      </c>
      <c r="AJ14" s="170">
        <f>AI14*13.8</f>
        <v>341857795.2</v>
      </c>
      <c r="AK14" s="528">
        <f t="shared" si="13"/>
        <v>309013120</v>
      </c>
    </row>
    <row r="15" spans="1:37" ht="20.25" customHeight="1">
      <c r="A15" s="162">
        <v>8</v>
      </c>
      <c r="B15" s="163" t="s">
        <v>151</v>
      </c>
      <c r="C15" s="157"/>
      <c r="D15" s="179"/>
      <c r="E15" s="179"/>
      <c r="F15" s="179"/>
      <c r="G15" s="164">
        <f t="shared" si="0"/>
        <v>0</v>
      </c>
      <c r="H15" s="170">
        <f t="shared" si="14"/>
        <v>0</v>
      </c>
      <c r="I15" s="528">
        <f t="shared" si="18"/>
        <v>0</v>
      </c>
      <c r="J15" s="157"/>
      <c r="K15" s="179"/>
      <c r="L15" s="179"/>
      <c r="M15" s="179"/>
      <c r="N15" s="164">
        <f t="shared" si="6"/>
        <v>0</v>
      </c>
      <c r="O15" s="170">
        <f t="shared" si="15"/>
        <v>0</v>
      </c>
      <c r="P15" s="528">
        <f t="shared" si="7"/>
        <v>0</v>
      </c>
      <c r="Q15" s="164">
        <f t="shared" si="1"/>
        <v>0</v>
      </c>
      <c r="R15" s="164">
        <f t="shared" si="2"/>
        <v>0</v>
      </c>
      <c r="S15" s="164">
        <f t="shared" si="3"/>
        <v>0</v>
      </c>
      <c r="T15" s="164">
        <f t="shared" si="4"/>
        <v>0</v>
      </c>
      <c r="U15" s="164">
        <f t="shared" si="5"/>
        <v>0</v>
      </c>
      <c r="V15" s="170">
        <f t="shared" si="8"/>
        <v>0</v>
      </c>
      <c r="W15" s="528">
        <f t="shared" si="9"/>
        <v>0</v>
      </c>
      <c r="X15" s="157"/>
      <c r="Y15" s="157"/>
      <c r="Z15" s="157"/>
      <c r="AA15" s="157"/>
      <c r="AB15" s="164">
        <f t="shared" si="10"/>
        <v>0</v>
      </c>
      <c r="AC15" s="170">
        <f t="shared" si="16"/>
        <v>0</v>
      </c>
      <c r="AD15" s="528">
        <f t="shared" si="11"/>
        <v>0</v>
      </c>
      <c r="AE15" s="157"/>
      <c r="AF15" s="157"/>
      <c r="AG15" s="157"/>
      <c r="AH15" s="157"/>
      <c r="AI15" s="164">
        <f t="shared" si="12"/>
        <v>0</v>
      </c>
      <c r="AJ15" s="170">
        <f t="shared" si="17"/>
        <v>0</v>
      </c>
      <c r="AK15" s="528">
        <f t="shared" si="13"/>
        <v>0</v>
      </c>
    </row>
    <row r="16" spans="1:37" ht="20.25" customHeight="1">
      <c r="A16" s="162">
        <v>9</v>
      </c>
      <c r="B16" s="163" t="s">
        <v>158</v>
      </c>
      <c r="C16" s="157"/>
      <c r="D16" s="179"/>
      <c r="E16" s="179"/>
      <c r="F16" s="179"/>
      <c r="G16" s="164">
        <f t="shared" si="0"/>
        <v>0</v>
      </c>
      <c r="H16" s="170">
        <f>G16*13</f>
        <v>0</v>
      </c>
      <c r="I16" s="528">
        <f t="shared" si="18"/>
        <v>0</v>
      </c>
      <c r="J16" s="157"/>
      <c r="K16" s="179"/>
      <c r="L16" s="179"/>
      <c r="M16" s="179"/>
      <c r="N16" s="164">
        <f t="shared" si="6"/>
        <v>0</v>
      </c>
      <c r="O16" s="170">
        <f t="shared" si="15"/>
        <v>0</v>
      </c>
      <c r="P16" s="528">
        <f t="shared" si="7"/>
        <v>0</v>
      </c>
      <c r="Q16" s="164">
        <f t="shared" si="1"/>
        <v>0</v>
      </c>
      <c r="R16" s="164">
        <f t="shared" si="2"/>
        <v>0</v>
      </c>
      <c r="S16" s="164">
        <f t="shared" si="3"/>
        <v>0</v>
      </c>
      <c r="T16" s="164">
        <f t="shared" si="4"/>
        <v>0</v>
      </c>
      <c r="U16" s="164">
        <f t="shared" si="5"/>
        <v>0</v>
      </c>
      <c r="V16" s="170">
        <f t="shared" si="8"/>
        <v>0</v>
      </c>
      <c r="W16" s="528">
        <f t="shared" si="9"/>
        <v>0</v>
      </c>
      <c r="X16" s="157"/>
      <c r="Y16" s="157"/>
      <c r="Z16" s="157"/>
      <c r="AA16" s="157"/>
      <c r="AB16" s="164">
        <f t="shared" si="10"/>
        <v>0</v>
      </c>
      <c r="AC16" s="170">
        <f t="shared" si="16"/>
        <v>0</v>
      </c>
      <c r="AD16" s="528">
        <f t="shared" si="11"/>
        <v>0</v>
      </c>
      <c r="AE16" s="157"/>
      <c r="AF16" s="157"/>
      <c r="AG16" s="157"/>
      <c r="AH16" s="157"/>
      <c r="AI16" s="164">
        <f t="shared" si="12"/>
        <v>0</v>
      </c>
      <c r="AJ16" s="170">
        <f t="shared" si="17"/>
        <v>0</v>
      </c>
      <c r="AK16" s="528">
        <f t="shared" si="13"/>
        <v>0</v>
      </c>
    </row>
    <row r="17" spans="1:37" ht="20.25" customHeight="1">
      <c r="A17" s="162">
        <v>10</v>
      </c>
      <c r="B17" s="163" t="s">
        <v>159</v>
      </c>
      <c r="C17" s="157"/>
      <c r="D17" s="179"/>
      <c r="E17" s="179"/>
      <c r="F17" s="179"/>
      <c r="G17" s="164">
        <f t="shared" si="0"/>
        <v>0</v>
      </c>
      <c r="H17" s="170">
        <f>G17*13</f>
        <v>0</v>
      </c>
      <c r="I17" s="528">
        <f t="shared" si="18"/>
        <v>0</v>
      </c>
      <c r="J17" s="157"/>
      <c r="K17" s="179"/>
      <c r="L17" s="179"/>
      <c r="M17" s="179"/>
      <c r="N17" s="164">
        <f t="shared" si="6"/>
        <v>0</v>
      </c>
      <c r="O17" s="170">
        <f t="shared" si="15"/>
        <v>0</v>
      </c>
      <c r="P17" s="528">
        <f t="shared" si="7"/>
        <v>0</v>
      </c>
      <c r="Q17" s="164">
        <f t="shared" si="1"/>
        <v>0</v>
      </c>
      <c r="R17" s="164">
        <f t="shared" si="2"/>
        <v>0</v>
      </c>
      <c r="S17" s="164">
        <f t="shared" si="3"/>
        <v>0</v>
      </c>
      <c r="T17" s="164">
        <f t="shared" si="4"/>
        <v>0</v>
      </c>
      <c r="U17" s="164">
        <f t="shared" si="5"/>
        <v>0</v>
      </c>
      <c r="V17" s="170">
        <f t="shared" si="8"/>
        <v>0</v>
      </c>
      <c r="W17" s="528">
        <f t="shared" si="9"/>
        <v>0</v>
      </c>
      <c r="X17" s="157"/>
      <c r="Y17" s="157"/>
      <c r="Z17" s="157"/>
      <c r="AA17" s="157"/>
      <c r="AB17" s="164">
        <f t="shared" si="10"/>
        <v>0</v>
      </c>
      <c r="AC17" s="170">
        <f t="shared" si="16"/>
        <v>0</v>
      </c>
      <c r="AD17" s="528">
        <f t="shared" si="11"/>
        <v>0</v>
      </c>
      <c r="AE17" s="157"/>
      <c r="AF17" s="157"/>
      <c r="AG17" s="157"/>
      <c r="AH17" s="157"/>
      <c r="AI17" s="164">
        <f t="shared" si="12"/>
        <v>0</v>
      </c>
      <c r="AJ17" s="170">
        <f t="shared" si="17"/>
        <v>0</v>
      </c>
      <c r="AK17" s="528">
        <f t="shared" si="13"/>
        <v>0</v>
      </c>
    </row>
    <row r="18" spans="1:37" ht="20.25" customHeight="1">
      <c r="A18" s="162">
        <v>11</v>
      </c>
      <c r="B18" s="163" t="s">
        <v>160</v>
      </c>
      <c r="C18" s="157"/>
      <c r="D18" s="179"/>
      <c r="E18" s="179"/>
      <c r="F18" s="179"/>
      <c r="G18" s="164">
        <f t="shared" si="0"/>
        <v>0</v>
      </c>
      <c r="H18" s="170">
        <f>G18*13</f>
        <v>0</v>
      </c>
      <c r="I18" s="528">
        <f t="shared" si="18"/>
        <v>0</v>
      </c>
      <c r="J18" s="157"/>
      <c r="K18" s="179"/>
      <c r="L18" s="179"/>
      <c r="M18" s="179"/>
      <c r="N18" s="164">
        <f t="shared" si="6"/>
        <v>0</v>
      </c>
      <c r="O18" s="170">
        <f t="shared" si="15"/>
        <v>0</v>
      </c>
      <c r="P18" s="528">
        <f>K18*13</f>
        <v>0</v>
      </c>
      <c r="Q18" s="164">
        <f t="shared" si="1"/>
        <v>0</v>
      </c>
      <c r="R18" s="164">
        <f t="shared" si="2"/>
        <v>0</v>
      </c>
      <c r="S18" s="164">
        <f t="shared" si="3"/>
        <v>0</v>
      </c>
      <c r="T18" s="164">
        <f t="shared" si="4"/>
        <v>0</v>
      </c>
      <c r="U18" s="164">
        <f t="shared" si="5"/>
        <v>0</v>
      </c>
      <c r="V18" s="170">
        <f t="shared" si="8"/>
        <v>0</v>
      </c>
      <c r="W18" s="528">
        <f>+H18-P18</f>
        <v>0</v>
      </c>
      <c r="X18" s="157"/>
      <c r="Y18" s="157"/>
      <c r="Z18" s="157"/>
      <c r="AA18" s="157"/>
      <c r="AB18" s="164">
        <f t="shared" si="10"/>
        <v>0</v>
      </c>
      <c r="AC18" s="170">
        <f t="shared" si="16"/>
        <v>0</v>
      </c>
      <c r="AD18" s="528">
        <f>Y18*13</f>
        <v>0</v>
      </c>
      <c r="AE18" s="157"/>
      <c r="AF18" s="157"/>
      <c r="AG18" s="157"/>
      <c r="AH18" s="157"/>
      <c r="AI18" s="164">
        <f t="shared" si="12"/>
        <v>0</v>
      </c>
      <c r="AJ18" s="170">
        <f t="shared" si="17"/>
        <v>0</v>
      </c>
      <c r="AK18" s="528">
        <f>AF18*13</f>
        <v>0</v>
      </c>
    </row>
    <row r="19" spans="1:37" ht="54">
      <c r="A19" s="162">
        <v>13</v>
      </c>
      <c r="B19" s="163" t="s">
        <v>253</v>
      </c>
      <c r="C19" s="157">
        <v>13</v>
      </c>
      <c r="D19" s="179">
        <v>1617745</v>
      </c>
      <c r="E19" s="179"/>
      <c r="F19" s="179">
        <v>104000</v>
      </c>
      <c r="G19" s="164">
        <f t="shared" si="0"/>
        <v>1721745</v>
      </c>
      <c r="H19" s="170">
        <f>G19*13.159</f>
        <v>22656442.455000002</v>
      </c>
      <c r="I19" s="528">
        <f t="shared" si="18"/>
        <v>21030685</v>
      </c>
      <c r="J19" s="157">
        <v>13</v>
      </c>
      <c r="K19" s="179">
        <v>1617745</v>
      </c>
      <c r="L19" s="179"/>
      <c r="M19" s="179">
        <v>104000</v>
      </c>
      <c r="N19" s="164">
        <f>+K19+L19+M19</f>
        <v>1721745</v>
      </c>
      <c r="O19" s="170">
        <f>N19*13</f>
        <v>22382685</v>
      </c>
      <c r="P19" s="531">
        <f>K19*13</f>
        <v>21030685</v>
      </c>
      <c r="Q19" s="164">
        <f t="shared" si="1"/>
        <v>0</v>
      </c>
      <c r="R19" s="164">
        <f t="shared" si="2"/>
        <v>0</v>
      </c>
      <c r="S19" s="164">
        <f t="shared" si="3"/>
        <v>0</v>
      </c>
      <c r="T19" s="164">
        <f t="shared" si="4"/>
        <v>0</v>
      </c>
      <c r="U19" s="164">
        <f t="shared" si="5"/>
        <v>0</v>
      </c>
      <c r="V19" s="170">
        <f t="shared" si="8"/>
        <v>273757.45500000194</v>
      </c>
      <c r="W19" s="531">
        <f>R19*12</f>
        <v>0</v>
      </c>
      <c r="X19" s="157">
        <v>13</v>
      </c>
      <c r="Y19" s="157">
        <v>1617745</v>
      </c>
      <c r="Z19" s="157"/>
      <c r="AA19" s="179">
        <v>104000</v>
      </c>
      <c r="AB19" s="164">
        <f t="shared" si="10"/>
        <v>1721745</v>
      </c>
      <c r="AC19" s="170">
        <f>AB19*13.12</f>
        <v>22589294.4</v>
      </c>
      <c r="AD19" s="531">
        <f>Y19*12</f>
        <v>19412940</v>
      </c>
      <c r="AE19" s="157">
        <v>13</v>
      </c>
      <c r="AF19" s="166">
        <v>1617745</v>
      </c>
      <c r="AG19" s="157"/>
      <c r="AH19" s="157">
        <v>104000</v>
      </c>
      <c r="AI19" s="164">
        <f t="shared" si="12"/>
        <v>1721745</v>
      </c>
      <c r="AJ19" s="170">
        <f>AI19*13.7</f>
        <v>23587906.5</v>
      </c>
      <c r="AK19" s="531">
        <f>AF19*12</f>
        <v>19412940</v>
      </c>
    </row>
    <row r="20" spans="1:37" ht="38.25" customHeight="1">
      <c r="A20" s="162"/>
      <c r="B20" s="25" t="s">
        <v>149</v>
      </c>
      <c r="C20" s="164">
        <f aca="true" t="shared" si="19" ref="C20:N20">SUM(C8:C19)</f>
        <v>98</v>
      </c>
      <c r="D20" s="164">
        <f t="shared" si="19"/>
        <v>29230161</v>
      </c>
      <c r="E20" s="164">
        <f t="shared" si="19"/>
        <v>380806.39999999997</v>
      </c>
      <c r="F20" s="164">
        <f>SUM(F8:F19)</f>
        <v>784000</v>
      </c>
      <c r="G20" s="164">
        <f t="shared" si="19"/>
        <v>30394967.4</v>
      </c>
      <c r="H20" s="170">
        <f t="shared" si="19"/>
        <v>400168088.57339996</v>
      </c>
      <c r="I20" s="531">
        <f>SUM(I7:I19)</f>
        <v>379992101</v>
      </c>
      <c r="J20" s="164">
        <f t="shared" si="19"/>
        <v>98</v>
      </c>
      <c r="K20" s="164">
        <f t="shared" si="19"/>
        <v>29049617</v>
      </c>
      <c r="L20" s="164">
        <f t="shared" si="19"/>
        <v>379766.39999999997</v>
      </c>
      <c r="M20" s="164">
        <f t="shared" si="19"/>
        <v>784000</v>
      </c>
      <c r="N20" s="164">
        <f t="shared" si="19"/>
        <v>30213383.4</v>
      </c>
      <c r="O20" s="170">
        <f aca="true" t="shared" si="20" ref="O20:AJ20">SUM(O8:O19)</f>
        <v>392773984.2</v>
      </c>
      <c r="P20" s="531">
        <f>SUM(P7:P19)</f>
        <v>377645029</v>
      </c>
      <c r="Q20" s="164">
        <f t="shared" si="20"/>
        <v>0</v>
      </c>
      <c r="R20" s="164">
        <f t="shared" si="20"/>
        <v>180544</v>
      </c>
      <c r="S20" s="164">
        <f t="shared" si="20"/>
        <v>1040</v>
      </c>
      <c r="T20" s="164">
        <f t="shared" si="20"/>
        <v>0</v>
      </c>
      <c r="U20" s="164">
        <f t="shared" si="20"/>
        <v>181584</v>
      </c>
      <c r="V20" s="170">
        <f t="shared" si="20"/>
        <v>7394104.37339998</v>
      </c>
      <c r="W20" s="531">
        <f>SUM(W7:W19)</f>
        <v>20897318.118399967</v>
      </c>
      <c r="X20" s="164">
        <f t="shared" si="20"/>
        <v>98</v>
      </c>
      <c r="Y20" s="164">
        <f t="shared" si="20"/>
        <v>29508881</v>
      </c>
      <c r="Z20" s="164">
        <f t="shared" si="20"/>
        <v>381721.6</v>
      </c>
      <c r="AA20" s="164">
        <f t="shared" si="20"/>
        <v>784000</v>
      </c>
      <c r="AB20" s="164">
        <f t="shared" si="20"/>
        <v>30674602.6</v>
      </c>
      <c r="AC20" s="170">
        <f t="shared" si="20"/>
        <v>403319371.84000003</v>
      </c>
      <c r="AD20" s="531">
        <f>SUM(AD7:AD19)</f>
        <v>381997716</v>
      </c>
      <c r="AE20" s="164">
        <f t="shared" si="20"/>
        <v>98</v>
      </c>
      <c r="AF20" s="164">
        <f t="shared" si="20"/>
        <v>29984785</v>
      </c>
      <c r="AG20" s="164">
        <f t="shared" si="20"/>
        <v>402063.99999999994</v>
      </c>
      <c r="AH20" s="164">
        <f t="shared" si="20"/>
        <v>784000</v>
      </c>
      <c r="AI20" s="164">
        <f t="shared" si="20"/>
        <v>31170849</v>
      </c>
      <c r="AJ20" s="170">
        <f t="shared" si="20"/>
        <v>429985541.7</v>
      </c>
      <c r="AK20" s="531">
        <f>SUM(AK7:AK19)</f>
        <v>388184468</v>
      </c>
    </row>
    <row r="21" spans="3:34" ht="36.75" customHeight="1">
      <c r="C21" s="4"/>
      <c r="I21" s="512"/>
      <c r="J21" s="4"/>
      <c r="X21" s="4"/>
      <c r="Y21" s="4"/>
      <c r="Z21" s="4"/>
      <c r="AA21" s="4"/>
      <c r="AE21" s="4"/>
      <c r="AF21" s="4"/>
      <c r="AG21" s="4"/>
      <c r="AH21" s="4"/>
    </row>
    <row r="22" spans="2:38" ht="41.25" customHeight="1">
      <c r="B22" s="532" t="s">
        <v>569</v>
      </c>
      <c r="C22" s="4"/>
      <c r="I22" s="533">
        <f>+I20*0.16</f>
        <v>60798736.160000004</v>
      </c>
      <c r="J22" s="534"/>
      <c r="K22" s="534"/>
      <c r="L22" s="535"/>
      <c r="M22" s="535"/>
      <c r="N22" s="535"/>
      <c r="O22" s="535"/>
      <c r="P22" s="533">
        <f>+P20*0.16</f>
        <v>60423204.64</v>
      </c>
      <c r="Q22" s="533"/>
      <c r="R22" s="535"/>
      <c r="S22" s="535"/>
      <c r="T22" s="535"/>
      <c r="U22" s="535"/>
      <c r="V22" s="535"/>
      <c r="W22" s="533">
        <f>+W20*0.16</f>
        <v>3343570.8989439947</v>
      </c>
      <c r="X22" s="536"/>
      <c r="Y22" s="534"/>
      <c r="Z22" s="534"/>
      <c r="AA22" s="534"/>
      <c r="AB22" s="534"/>
      <c r="AC22" s="535"/>
      <c r="AD22" s="533">
        <f>+AD20*0.16</f>
        <v>61119634.56</v>
      </c>
      <c r="AE22" s="533"/>
      <c r="AF22" s="534"/>
      <c r="AG22" s="534"/>
      <c r="AH22" s="534"/>
      <c r="AI22" s="534"/>
      <c r="AJ22" s="535"/>
      <c r="AK22" s="533">
        <f>+AK20*0.16</f>
        <v>62109514.88</v>
      </c>
      <c r="AL22" s="533"/>
    </row>
    <row r="23" spans="2:38" ht="20.25" customHeight="1">
      <c r="B23" s="532" t="s">
        <v>570</v>
      </c>
      <c r="I23" s="533">
        <f>+H20+I22/6</f>
        <v>410301211.2667333</v>
      </c>
      <c r="J23" s="535"/>
      <c r="K23" s="535"/>
      <c r="L23" s="535"/>
      <c r="M23" s="535"/>
      <c r="N23" s="535"/>
      <c r="O23" s="535"/>
      <c r="P23" s="533">
        <f>+O20+P22/6</f>
        <v>402844518.3066667</v>
      </c>
      <c r="Q23" s="533"/>
      <c r="R23" s="535"/>
      <c r="S23" s="535"/>
      <c r="T23" s="535"/>
      <c r="U23" s="535"/>
      <c r="V23" s="535"/>
      <c r="W23" s="533">
        <f>+V20+W22/6</f>
        <v>7951366.189890646</v>
      </c>
      <c r="X23" s="536"/>
      <c r="Y23" s="535"/>
      <c r="Z23" s="535"/>
      <c r="AA23" s="535"/>
      <c r="AB23" s="535"/>
      <c r="AC23" s="535"/>
      <c r="AD23" s="533">
        <f>+AC20+AD22/6</f>
        <v>413505977.6</v>
      </c>
      <c r="AE23" s="533"/>
      <c r="AF23" s="535"/>
      <c r="AG23" s="535"/>
      <c r="AH23" s="535"/>
      <c r="AI23" s="535"/>
      <c r="AJ23" s="535"/>
      <c r="AK23" s="533">
        <f>+AJ20+AK22/6</f>
        <v>440337127.5133333</v>
      </c>
      <c r="AL23" s="533"/>
    </row>
    <row r="25" ht="14.25">
      <c r="G25" s="508"/>
    </row>
  </sheetData>
  <sheetProtection/>
  <mergeCells count="2">
    <mergeCell ref="J5:N5"/>
    <mergeCell ref="AE5:AJ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0" sqref="G20"/>
    </sheetView>
  </sheetViews>
  <sheetFormatPr defaultColWidth="9.140625" defaultRowHeight="12.75"/>
  <cols>
    <col min="1" max="1" width="5.8515625" style="16" customWidth="1"/>
    <col min="2" max="2" width="6.140625" style="16" customWidth="1"/>
    <col min="3" max="3" width="6.7109375" style="12" customWidth="1"/>
    <col min="4" max="4" width="45.57421875" style="146" customWidth="1"/>
    <col min="5" max="6" width="11.7109375" style="3" customWidth="1"/>
    <col min="7" max="7" width="11.00390625" style="3" customWidth="1"/>
    <col min="8" max="8" width="12.57421875" style="3" customWidth="1"/>
    <col min="9" max="9" width="14.7109375" style="3" customWidth="1"/>
    <col min="10" max="10" width="31.00390625" style="3" customWidth="1"/>
    <col min="11" max="12" width="11.00390625" style="3" customWidth="1"/>
    <col min="13" max="16384" width="9.140625" style="4" customWidth="1"/>
  </cols>
  <sheetData>
    <row r="1" spans="1:10" ht="21.75" customHeight="1">
      <c r="A1" s="28"/>
      <c r="B1" s="28"/>
      <c r="J1" s="35" t="s">
        <v>15</v>
      </c>
    </row>
    <row r="2" spans="1:12" s="28" customFormat="1" ht="25.5" customHeight="1" thickBot="1">
      <c r="A2" s="702" t="s">
        <v>609</v>
      </c>
      <c r="B2" s="702"/>
      <c r="C2" s="702"/>
      <c r="D2" s="702"/>
      <c r="E2" s="702"/>
      <c r="F2" s="702"/>
      <c r="G2" s="702"/>
      <c r="H2" s="702"/>
      <c r="I2" s="20"/>
      <c r="J2" s="35" t="s">
        <v>9</v>
      </c>
      <c r="K2" s="27"/>
      <c r="L2" s="27"/>
    </row>
    <row r="3" spans="1:10" s="299" customFormat="1" ht="16.5">
      <c r="A3" s="321" t="s">
        <v>230</v>
      </c>
      <c r="B3" s="321"/>
      <c r="C3" s="297"/>
      <c r="D3" s="703"/>
      <c r="E3" s="703"/>
      <c r="F3" s="703"/>
      <c r="G3" s="703"/>
      <c r="H3" s="703"/>
      <c r="I3" s="703"/>
      <c r="J3" s="298"/>
    </row>
    <row r="4" spans="1:12" s="299" customFormat="1" ht="16.5">
      <c r="A4" s="175" t="s">
        <v>231</v>
      </c>
      <c r="B4" s="175"/>
      <c r="C4" s="297"/>
      <c r="D4" s="303"/>
      <c r="E4" s="303"/>
      <c r="F4" s="303"/>
      <c r="G4" s="303"/>
      <c r="H4" s="303"/>
      <c r="I4" s="303"/>
      <c r="J4" s="298"/>
      <c r="K4" s="336"/>
      <c r="L4" s="336"/>
    </row>
    <row r="5" spans="1:12" s="28" customFormat="1" ht="14.25">
      <c r="A5" s="175" t="s">
        <v>232</v>
      </c>
      <c r="B5" s="175"/>
      <c r="C5" s="40"/>
      <c r="D5" s="5"/>
      <c r="E5" s="20"/>
      <c r="F5" s="20"/>
      <c r="G5" s="20"/>
      <c r="H5" s="20"/>
      <c r="I5" s="20"/>
      <c r="J5" s="20"/>
      <c r="K5" s="20"/>
      <c r="L5" s="20"/>
    </row>
    <row r="6" spans="1:9" s="12" customFormat="1" ht="13.5">
      <c r="A6" s="701"/>
      <c r="B6" s="701"/>
      <c r="C6" s="202"/>
      <c r="D6" s="223"/>
      <c r="E6" s="7"/>
      <c r="F6" s="7"/>
      <c r="H6" s="252" t="s">
        <v>196</v>
      </c>
      <c r="I6" s="251"/>
    </row>
    <row r="7" spans="1:12" s="12" customFormat="1" ht="13.5" customHeight="1">
      <c r="A7" s="693" t="s">
        <v>233</v>
      </c>
      <c r="B7" s="693"/>
      <c r="C7" s="699"/>
      <c r="D7" s="700"/>
      <c r="E7" s="41" t="s">
        <v>273</v>
      </c>
      <c r="F7" s="41" t="s">
        <v>278</v>
      </c>
      <c r="G7" s="43" t="s">
        <v>289</v>
      </c>
      <c r="H7" s="43"/>
      <c r="I7" s="43"/>
      <c r="J7" s="11"/>
      <c r="K7" s="42" t="s">
        <v>567</v>
      </c>
      <c r="L7" s="42" t="s">
        <v>605</v>
      </c>
    </row>
    <row r="8" spans="1:12" s="12" customFormat="1" ht="63.75">
      <c r="A8" s="306" t="s">
        <v>234</v>
      </c>
      <c r="B8" s="306" t="s">
        <v>235</v>
      </c>
      <c r="C8" s="269" t="s">
        <v>16</v>
      </c>
      <c r="D8" s="269" t="s">
        <v>208</v>
      </c>
      <c r="E8" s="11" t="s">
        <v>210</v>
      </c>
      <c r="F8" s="46" t="s">
        <v>11</v>
      </c>
      <c r="G8" s="11" t="s">
        <v>12</v>
      </c>
      <c r="H8" s="11" t="s">
        <v>740</v>
      </c>
      <c r="I8" s="362" t="s">
        <v>741</v>
      </c>
      <c r="J8" s="11" t="s">
        <v>171</v>
      </c>
      <c r="K8" s="11" t="s">
        <v>12</v>
      </c>
      <c r="L8" s="11" t="s">
        <v>12</v>
      </c>
    </row>
    <row r="9" spans="1:12" s="187" customFormat="1" ht="13.5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</row>
    <row r="10" spans="1:12" s="116" customFormat="1" ht="14.25" customHeight="1">
      <c r="A10" s="704"/>
      <c r="B10" s="696"/>
      <c r="C10" s="307"/>
      <c r="D10" s="193" t="s">
        <v>169</v>
      </c>
      <c r="E10" s="186">
        <v>142</v>
      </c>
      <c r="F10" s="186">
        <v>98</v>
      </c>
      <c r="G10" s="186">
        <v>98</v>
      </c>
      <c r="H10" s="186">
        <f>+G10-F10</f>
        <v>0</v>
      </c>
      <c r="I10" s="186">
        <f aca="true" t="shared" si="0" ref="I10:I41">G10-E10</f>
        <v>-44</v>
      </c>
      <c r="J10" s="186"/>
      <c r="K10" s="186">
        <v>98</v>
      </c>
      <c r="L10" s="186">
        <v>98</v>
      </c>
    </row>
    <row r="11" spans="1:12" s="116" customFormat="1" ht="13.5" customHeight="1">
      <c r="A11" s="691"/>
      <c r="B11" s="697"/>
      <c r="C11" s="308"/>
      <c r="D11" s="194"/>
      <c r="E11" s="105"/>
      <c r="F11" s="105"/>
      <c r="G11" s="105"/>
      <c r="H11" s="105">
        <f aca="true" t="shared" si="1" ref="H11:H75">+G11-F11</f>
        <v>0</v>
      </c>
      <c r="I11" s="105">
        <f t="shared" si="0"/>
        <v>0</v>
      </c>
      <c r="J11" s="105"/>
      <c r="K11" s="105"/>
      <c r="L11" s="105"/>
    </row>
    <row r="12" spans="1:12" s="116" customFormat="1" ht="14.25" customHeight="1">
      <c r="A12" s="691"/>
      <c r="B12" s="697"/>
      <c r="C12" s="308"/>
      <c r="D12" s="195" t="s">
        <v>13</v>
      </c>
      <c r="E12" s="105">
        <v>4</v>
      </c>
      <c r="F12" s="105">
        <v>4</v>
      </c>
      <c r="G12" s="105">
        <v>4</v>
      </c>
      <c r="H12" s="105">
        <f t="shared" si="1"/>
        <v>0</v>
      </c>
      <c r="I12" s="105">
        <f t="shared" si="0"/>
        <v>0</v>
      </c>
      <c r="J12" s="105"/>
      <c r="K12" s="105"/>
      <c r="L12" s="105"/>
    </row>
    <row r="13" spans="1:12" s="189" customFormat="1" ht="14.25" customHeight="1">
      <c r="A13" s="691"/>
      <c r="B13" s="697"/>
      <c r="C13" s="308"/>
      <c r="D13" s="194"/>
      <c r="E13" s="105"/>
      <c r="F13" s="105"/>
      <c r="G13" s="105"/>
      <c r="H13" s="105">
        <f t="shared" si="1"/>
        <v>0</v>
      </c>
      <c r="I13" s="105">
        <f t="shared" si="0"/>
        <v>0</v>
      </c>
      <c r="J13" s="105"/>
      <c r="K13" s="105"/>
      <c r="L13" s="105"/>
    </row>
    <row r="14" spans="1:12" s="187" customFormat="1" ht="14.25" customHeight="1">
      <c r="A14" s="691"/>
      <c r="B14" s="697"/>
      <c r="C14" s="309"/>
      <c r="D14" s="203" t="s">
        <v>14</v>
      </c>
      <c r="E14" s="188">
        <f>+E16+E85</f>
        <v>714372.7</v>
      </c>
      <c r="F14" s="188">
        <f>+F16+F85</f>
        <v>756946.3</v>
      </c>
      <c r="G14" s="188">
        <f>+G16+G85</f>
        <v>590733</v>
      </c>
      <c r="H14" s="188">
        <f t="shared" si="1"/>
        <v>-166213.30000000005</v>
      </c>
      <c r="I14" s="188">
        <f t="shared" si="0"/>
        <v>-123639.69999999995</v>
      </c>
      <c r="J14" s="188"/>
      <c r="K14" s="188">
        <f>+K16+K85</f>
        <v>585143</v>
      </c>
      <c r="L14" s="188">
        <f>+L16+L85</f>
        <v>616243</v>
      </c>
    </row>
    <row r="15" spans="1:12" s="187" customFormat="1" ht="14.25" customHeight="1">
      <c r="A15" s="691"/>
      <c r="B15" s="697"/>
      <c r="C15" s="310"/>
      <c r="D15" s="13" t="s">
        <v>209</v>
      </c>
      <c r="E15" s="105"/>
      <c r="F15" s="105"/>
      <c r="G15" s="105"/>
      <c r="H15" s="105"/>
      <c r="I15" s="105"/>
      <c r="J15" s="105"/>
      <c r="K15" s="105"/>
      <c r="L15" s="105"/>
    </row>
    <row r="16" spans="1:12" s="187" customFormat="1" ht="14.25" customHeight="1">
      <c r="A16" s="691"/>
      <c r="B16" s="697"/>
      <c r="C16" s="311"/>
      <c r="D16" s="196" t="s">
        <v>17</v>
      </c>
      <c r="E16" s="188">
        <f>E18+SUM(E24:E83)-E24-E29-E37-E51-E55-E74</f>
        <v>714372.7</v>
      </c>
      <c r="F16" s="188">
        <f>F18+SUM(F24:F83)-F24-F29-F37-F51-F55-F74</f>
        <v>756946.3</v>
      </c>
      <c r="G16" s="188">
        <f>G18+SUM(G24:G83)-G24-G29-G37-G51-G55-G74</f>
        <v>581043</v>
      </c>
      <c r="H16" s="188">
        <f>+G16-F16</f>
        <v>-175903.30000000005</v>
      </c>
      <c r="I16" s="188">
        <f>G16-E16</f>
        <v>-133329.69999999995</v>
      </c>
      <c r="J16" s="188"/>
      <c r="K16" s="188">
        <f>K18+SUM(K24:K83)-K24-K29-K37-K51-K55-K74</f>
        <v>585143</v>
      </c>
      <c r="L16" s="188">
        <f>L18+SUM(L24:L83)-L24-L29-L37-L51-L55-L74</f>
        <v>616243</v>
      </c>
    </row>
    <row r="17" spans="1:12" s="187" customFormat="1" ht="13.5" customHeight="1">
      <c r="A17" s="691"/>
      <c r="B17" s="697"/>
      <c r="C17" s="307"/>
      <c r="D17" s="194" t="s">
        <v>53</v>
      </c>
      <c r="E17" s="186"/>
      <c r="F17" s="186"/>
      <c r="G17" s="105"/>
      <c r="H17" s="105">
        <f>+G17-F17</f>
        <v>0</v>
      </c>
      <c r="I17" s="105">
        <f>G17-E17</f>
        <v>0</v>
      </c>
      <c r="J17" s="186"/>
      <c r="K17" s="105"/>
      <c r="L17" s="105"/>
    </row>
    <row r="18" spans="1:12" s="187" customFormat="1" ht="14.25">
      <c r="A18" s="691"/>
      <c r="B18" s="697"/>
      <c r="C18" s="312"/>
      <c r="D18" s="271" t="s">
        <v>258</v>
      </c>
      <c r="E18" s="272">
        <f>SUM(E20:E23)</f>
        <v>616192.2</v>
      </c>
      <c r="F18" s="363">
        <f>SUM(F20:F23)</f>
        <v>652043.1</v>
      </c>
      <c r="G18" s="363">
        <f>SUM(G20:G23)</f>
        <v>476100</v>
      </c>
      <c r="H18" s="272">
        <f>+G18-F18</f>
        <v>-175943.09999999998</v>
      </c>
      <c r="I18" s="272">
        <f>G18-E18</f>
        <v>-140092.19999999995</v>
      </c>
      <c r="J18" s="272"/>
      <c r="K18" s="363">
        <f>SUM(K20:K23)</f>
        <v>480200</v>
      </c>
      <c r="L18" s="363">
        <f>SUM(L20:L23)</f>
        <v>511300</v>
      </c>
    </row>
    <row r="19" spans="1:12" s="187" customFormat="1" ht="13.5">
      <c r="A19" s="318"/>
      <c r="B19" s="316"/>
      <c r="C19" s="307"/>
      <c r="D19" s="194" t="s">
        <v>53</v>
      </c>
      <c r="E19" s="186"/>
      <c r="F19" s="186"/>
      <c r="G19" s="105"/>
      <c r="H19" s="105">
        <f t="shared" si="1"/>
        <v>0</v>
      </c>
      <c r="I19" s="186">
        <f t="shared" si="0"/>
        <v>0</v>
      </c>
      <c r="J19" s="186"/>
      <c r="K19" s="105"/>
      <c r="L19" s="105"/>
    </row>
    <row r="20" spans="1:12" s="187" customFormat="1" ht="28.5">
      <c r="A20" s="318"/>
      <c r="B20" s="316"/>
      <c r="C20" s="313" t="s">
        <v>161</v>
      </c>
      <c r="D20" s="197" t="s">
        <v>18</v>
      </c>
      <c r="E20" s="186">
        <v>518116.5</v>
      </c>
      <c r="F20" s="186">
        <v>555378.1</v>
      </c>
      <c r="G20" s="186">
        <v>410300</v>
      </c>
      <c r="H20" s="186">
        <f t="shared" si="1"/>
        <v>-145078.09999999998</v>
      </c>
      <c r="I20" s="186">
        <f t="shared" si="0"/>
        <v>-107816.5</v>
      </c>
      <c r="J20" s="186"/>
      <c r="K20" s="186">
        <v>413500</v>
      </c>
      <c r="L20" s="186">
        <v>440800</v>
      </c>
    </row>
    <row r="21" spans="1:12" s="190" customFormat="1" ht="28.5">
      <c r="A21" s="318"/>
      <c r="B21" s="316"/>
      <c r="C21" s="313" t="s">
        <v>162</v>
      </c>
      <c r="D21" s="198" t="s">
        <v>19</v>
      </c>
      <c r="E21" s="186">
        <v>60779.1</v>
      </c>
      <c r="F21" s="186">
        <v>50200.8</v>
      </c>
      <c r="G21" s="539">
        <v>33800</v>
      </c>
      <c r="H21" s="539">
        <f t="shared" si="1"/>
        <v>-16400.800000000003</v>
      </c>
      <c r="I21" s="539">
        <f t="shared" si="0"/>
        <v>-26979.1</v>
      </c>
      <c r="J21" s="539"/>
      <c r="K21" s="539">
        <v>34200</v>
      </c>
      <c r="L21" s="539">
        <v>36800</v>
      </c>
    </row>
    <row r="22" spans="1:12" s="190" customFormat="1" ht="28.5">
      <c r="A22" s="318"/>
      <c r="B22" s="316"/>
      <c r="C22" s="313" t="s">
        <v>163</v>
      </c>
      <c r="D22" s="198" t="s">
        <v>20</v>
      </c>
      <c r="E22" s="186">
        <v>37296.6</v>
      </c>
      <c r="F22" s="186">
        <v>46464.2</v>
      </c>
      <c r="G22" s="539">
        <v>32000</v>
      </c>
      <c r="H22" s="539">
        <f>+G22-F22</f>
        <v>-14464.199999999997</v>
      </c>
      <c r="I22" s="539">
        <f>G22-E22</f>
        <v>-5296.5999999999985</v>
      </c>
      <c r="J22" s="539"/>
      <c r="K22" s="539">
        <v>32500</v>
      </c>
      <c r="L22" s="539">
        <v>33700</v>
      </c>
    </row>
    <row r="23" spans="1:12" s="190" customFormat="1" ht="27" customHeight="1">
      <c r="A23" s="318"/>
      <c r="B23" s="316"/>
      <c r="C23" s="313" t="s">
        <v>312</v>
      </c>
      <c r="D23" s="198" t="s">
        <v>313</v>
      </c>
      <c r="E23" s="186"/>
      <c r="F23" s="186"/>
      <c r="G23" s="186"/>
      <c r="H23" s="186">
        <f>+G23-F23</f>
        <v>0</v>
      </c>
      <c r="I23" s="186">
        <f>G23-E23</f>
        <v>0</v>
      </c>
      <c r="J23" s="186"/>
      <c r="K23" s="186"/>
      <c r="L23" s="186"/>
    </row>
    <row r="24" spans="1:12" s="190" customFormat="1" ht="14.25">
      <c r="A24" s="318"/>
      <c r="B24" s="316"/>
      <c r="C24" s="314">
        <v>4212</v>
      </c>
      <c r="D24" s="271" t="s">
        <v>21</v>
      </c>
      <c r="E24" s="272">
        <f>E26+E27+E28</f>
        <v>9510</v>
      </c>
      <c r="F24" s="272">
        <f>F26+F27+F28</f>
        <v>14294</v>
      </c>
      <c r="G24" s="272">
        <f>G26+G27+G28</f>
        <v>14294</v>
      </c>
      <c r="H24" s="272">
        <f t="shared" si="1"/>
        <v>0</v>
      </c>
      <c r="I24" s="272">
        <f t="shared" si="0"/>
        <v>4784</v>
      </c>
      <c r="J24" s="272"/>
      <c r="K24" s="272">
        <f>K26+K27+K28</f>
        <v>14294</v>
      </c>
      <c r="L24" s="272">
        <f>L26+L27+L28</f>
        <v>14294</v>
      </c>
    </row>
    <row r="25" spans="1:12" s="190" customFormat="1" ht="13.5">
      <c r="A25" s="318"/>
      <c r="B25" s="316"/>
      <c r="C25" s="313"/>
      <c r="D25" s="194" t="s">
        <v>53</v>
      </c>
      <c r="E25" s="204"/>
      <c r="F25" s="204"/>
      <c r="G25" s="204"/>
      <c r="H25" s="204">
        <f t="shared" si="1"/>
        <v>0</v>
      </c>
      <c r="I25" s="204">
        <f t="shared" si="0"/>
        <v>0</v>
      </c>
      <c r="J25" s="204"/>
      <c r="K25" s="204"/>
      <c r="L25" s="204"/>
    </row>
    <row r="26" spans="1:12" s="190" customFormat="1" ht="13.5">
      <c r="A26" s="318"/>
      <c r="B26" s="316"/>
      <c r="C26" s="313"/>
      <c r="D26" s="194" t="s">
        <v>21</v>
      </c>
      <c r="E26" s="204"/>
      <c r="F26" s="204"/>
      <c r="G26" s="204"/>
      <c r="H26" s="204">
        <f t="shared" si="1"/>
        <v>0</v>
      </c>
      <c r="I26" s="204">
        <f t="shared" si="0"/>
        <v>0</v>
      </c>
      <c r="J26" s="204"/>
      <c r="K26" s="204"/>
      <c r="L26" s="204"/>
    </row>
    <row r="27" spans="1:12" s="190" customFormat="1" ht="13.5">
      <c r="A27" s="318"/>
      <c r="B27" s="316"/>
      <c r="C27" s="313"/>
      <c r="D27" s="194" t="s">
        <v>170</v>
      </c>
      <c r="E27" s="204">
        <v>3121.3</v>
      </c>
      <c r="F27" s="204">
        <v>7688.1</v>
      </c>
      <c r="G27" s="204">
        <v>7688.1</v>
      </c>
      <c r="H27" s="204">
        <f t="shared" si="1"/>
        <v>0</v>
      </c>
      <c r="I27" s="204">
        <f t="shared" si="0"/>
        <v>4566.8</v>
      </c>
      <c r="J27" s="204"/>
      <c r="K27" s="204">
        <v>7688.1</v>
      </c>
      <c r="L27" s="204">
        <v>7688.1</v>
      </c>
    </row>
    <row r="28" spans="1:12" s="190" customFormat="1" ht="13.5">
      <c r="A28" s="318"/>
      <c r="B28" s="316"/>
      <c r="C28" s="313"/>
      <c r="D28" s="194" t="s">
        <v>211</v>
      </c>
      <c r="E28" s="204">
        <v>6388.7</v>
      </c>
      <c r="F28" s="204">
        <v>6605.9</v>
      </c>
      <c r="G28" s="204">
        <v>6605.9</v>
      </c>
      <c r="H28" s="204">
        <f t="shared" si="1"/>
        <v>0</v>
      </c>
      <c r="I28" s="204">
        <f t="shared" si="0"/>
        <v>217.19999999999982</v>
      </c>
      <c r="J28" s="204"/>
      <c r="K28" s="204">
        <v>6605.9</v>
      </c>
      <c r="L28" s="204">
        <v>6605.9</v>
      </c>
    </row>
    <row r="29" spans="1:12" s="190" customFormat="1" ht="14.25">
      <c r="A29" s="318"/>
      <c r="B29" s="316"/>
      <c r="C29" s="314">
        <v>4213</v>
      </c>
      <c r="D29" s="271" t="s">
        <v>22</v>
      </c>
      <c r="E29" s="272">
        <f>E31+E32</f>
        <v>315.3</v>
      </c>
      <c r="F29" s="272">
        <f>F31+F32</f>
        <v>264</v>
      </c>
      <c r="G29" s="272">
        <f>G31+G32</f>
        <v>264</v>
      </c>
      <c r="H29" s="272">
        <f t="shared" si="1"/>
        <v>0</v>
      </c>
      <c r="I29" s="272">
        <f t="shared" si="0"/>
        <v>-51.30000000000001</v>
      </c>
      <c r="J29" s="272"/>
      <c r="K29" s="272">
        <f>K31+K32</f>
        <v>264</v>
      </c>
      <c r="L29" s="272">
        <f>L31+L32</f>
        <v>264</v>
      </c>
    </row>
    <row r="30" spans="1:12" s="190" customFormat="1" ht="13.5">
      <c r="A30" s="318"/>
      <c r="B30" s="316"/>
      <c r="C30" s="313"/>
      <c r="D30" s="194" t="s">
        <v>53</v>
      </c>
      <c r="E30" s="204"/>
      <c r="F30" s="204"/>
      <c r="G30" s="204"/>
      <c r="H30" s="204">
        <f t="shared" si="1"/>
        <v>0</v>
      </c>
      <c r="I30" s="204">
        <f t="shared" si="0"/>
        <v>0</v>
      </c>
      <c r="J30" s="204"/>
      <c r="K30" s="204"/>
      <c r="L30" s="204"/>
    </row>
    <row r="31" spans="1:12" s="190" customFormat="1" ht="27">
      <c r="A31" s="318"/>
      <c r="B31" s="316"/>
      <c r="C31" s="313"/>
      <c r="D31" s="200" t="s">
        <v>23</v>
      </c>
      <c r="E31" s="204">
        <v>315.3</v>
      </c>
      <c r="F31" s="204">
        <v>215.1</v>
      </c>
      <c r="G31" s="204">
        <v>215.1</v>
      </c>
      <c r="H31" s="204">
        <f t="shared" si="1"/>
        <v>0</v>
      </c>
      <c r="I31" s="204">
        <f t="shared" si="0"/>
        <v>-100.20000000000002</v>
      </c>
      <c r="J31" s="204"/>
      <c r="K31" s="204">
        <v>215.1</v>
      </c>
      <c r="L31" s="204">
        <v>215.1</v>
      </c>
    </row>
    <row r="32" spans="1:12" s="190" customFormat="1" ht="27">
      <c r="A32" s="318"/>
      <c r="B32" s="316"/>
      <c r="C32" s="313"/>
      <c r="D32" s="200" t="s">
        <v>164</v>
      </c>
      <c r="E32" s="204"/>
      <c r="F32" s="204">
        <v>48.9</v>
      </c>
      <c r="G32" s="204">
        <v>48.9</v>
      </c>
      <c r="H32" s="204">
        <f t="shared" si="1"/>
        <v>0</v>
      </c>
      <c r="I32" s="204">
        <f t="shared" si="0"/>
        <v>48.9</v>
      </c>
      <c r="J32" s="204"/>
      <c r="K32" s="204">
        <v>48.9</v>
      </c>
      <c r="L32" s="204">
        <v>48.9</v>
      </c>
    </row>
    <row r="33" spans="1:12" s="190" customFormat="1" ht="14.25">
      <c r="A33" s="318"/>
      <c r="B33" s="316"/>
      <c r="C33" s="313">
        <v>4214</v>
      </c>
      <c r="D33" s="199" t="s">
        <v>24</v>
      </c>
      <c r="E33" s="204">
        <v>3281.7</v>
      </c>
      <c r="F33" s="204">
        <v>3360</v>
      </c>
      <c r="G33" s="204">
        <v>3360</v>
      </c>
      <c r="H33" s="204">
        <f t="shared" si="1"/>
        <v>0</v>
      </c>
      <c r="I33" s="204">
        <f t="shared" si="0"/>
        <v>78.30000000000018</v>
      </c>
      <c r="J33" s="204"/>
      <c r="K33" s="204">
        <v>3360</v>
      </c>
      <c r="L33" s="204">
        <v>3360</v>
      </c>
    </row>
    <row r="34" spans="1:12" s="187" customFormat="1" ht="23.25" customHeight="1">
      <c r="A34" s="318"/>
      <c r="B34" s="316"/>
      <c r="C34" s="313">
        <v>4215</v>
      </c>
      <c r="D34" s="199" t="s">
        <v>25</v>
      </c>
      <c r="E34" s="204">
        <v>100</v>
      </c>
      <c r="F34" s="204">
        <v>160</v>
      </c>
      <c r="G34" s="204">
        <v>160</v>
      </c>
      <c r="H34" s="204">
        <f t="shared" si="1"/>
        <v>0</v>
      </c>
      <c r="I34" s="204">
        <f t="shared" si="0"/>
        <v>60</v>
      </c>
      <c r="J34" s="204"/>
      <c r="K34" s="204">
        <v>160</v>
      </c>
      <c r="L34" s="204">
        <v>160</v>
      </c>
    </row>
    <row r="35" spans="1:12" s="116" customFormat="1" ht="14.25">
      <c r="A35" s="318"/>
      <c r="B35" s="316"/>
      <c r="C35" s="313">
        <v>4216</v>
      </c>
      <c r="D35" s="199" t="s">
        <v>26</v>
      </c>
      <c r="E35" s="204">
        <v>0</v>
      </c>
      <c r="F35" s="204">
        <v>0</v>
      </c>
      <c r="G35" s="204">
        <v>0</v>
      </c>
      <c r="H35" s="204">
        <f t="shared" si="1"/>
        <v>0</v>
      </c>
      <c r="I35" s="204">
        <f t="shared" si="0"/>
        <v>0</v>
      </c>
      <c r="J35" s="204"/>
      <c r="K35" s="204">
        <v>0</v>
      </c>
      <c r="L35" s="204">
        <v>0</v>
      </c>
    </row>
    <row r="36" spans="1:12" s="116" customFormat="1" ht="14.25">
      <c r="A36" s="318"/>
      <c r="B36" s="316"/>
      <c r="C36" s="313">
        <v>4217</v>
      </c>
      <c r="D36" s="199" t="s">
        <v>27</v>
      </c>
      <c r="E36" s="204"/>
      <c r="F36" s="204"/>
      <c r="G36" s="204"/>
      <c r="H36" s="204">
        <f t="shared" si="1"/>
        <v>0</v>
      </c>
      <c r="I36" s="204">
        <f t="shared" si="0"/>
        <v>0</v>
      </c>
      <c r="J36" s="204"/>
      <c r="K36" s="204"/>
      <c r="L36" s="204"/>
    </row>
    <row r="37" spans="1:12" s="116" customFormat="1" ht="14.25">
      <c r="A37" s="318"/>
      <c r="B37" s="316"/>
      <c r="C37" s="314"/>
      <c r="D37" s="271" t="s">
        <v>222</v>
      </c>
      <c r="E37" s="272">
        <f>E39+E40</f>
        <v>8456.699999999999</v>
      </c>
      <c r="F37" s="272">
        <f>F39+F40</f>
        <v>8733.2</v>
      </c>
      <c r="G37" s="272">
        <f>G39+G40</f>
        <v>8773</v>
      </c>
      <c r="H37" s="272">
        <f t="shared" si="1"/>
        <v>39.79999999999927</v>
      </c>
      <c r="I37" s="272">
        <f t="shared" si="0"/>
        <v>316.3000000000011</v>
      </c>
      <c r="J37" s="272"/>
      <c r="K37" s="272">
        <f>K39+K40</f>
        <v>8773</v>
      </c>
      <c r="L37" s="272">
        <f>L39+L40</f>
        <v>8773</v>
      </c>
    </row>
    <row r="38" spans="1:12" s="116" customFormat="1" ht="13.5">
      <c r="A38" s="318"/>
      <c r="B38" s="316"/>
      <c r="C38" s="313"/>
      <c r="D38" s="194" t="s">
        <v>53</v>
      </c>
      <c r="E38" s="105"/>
      <c r="F38" s="105"/>
      <c r="G38" s="105"/>
      <c r="H38" s="105">
        <f t="shared" si="1"/>
        <v>0</v>
      </c>
      <c r="I38" s="105">
        <f t="shared" si="0"/>
        <v>0</v>
      </c>
      <c r="J38" s="105"/>
      <c r="K38" s="105"/>
      <c r="L38" s="105"/>
    </row>
    <row r="39" spans="1:12" s="116" customFormat="1" ht="13.5">
      <c r="A39" s="318"/>
      <c r="B39" s="316"/>
      <c r="C39" s="313">
        <v>4221</v>
      </c>
      <c r="D39" s="194" t="s">
        <v>28</v>
      </c>
      <c r="E39" s="105">
        <v>8041.4</v>
      </c>
      <c r="F39" s="105">
        <v>7133.2</v>
      </c>
      <c r="G39" s="105">
        <v>7173</v>
      </c>
      <c r="H39" s="105">
        <f t="shared" si="1"/>
        <v>39.80000000000018</v>
      </c>
      <c r="I39" s="105">
        <f t="shared" si="0"/>
        <v>-868.3999999999996</v>
      </c>
      <c r="J39" s="105"/>
      <c r="K39" s="105">
        <v>7173</v>
      </c>
      <c r="L39" s="105">
        <v>7173</v>
      </c>
    </row>
    <row r="40" spans="1:12" s="116" customFormat="1" ht="13.5">
      <c r="A40" s="318"/>
      <c r="B40" s="316"/>
      <c r="C40" s="313">
        <v>4222</v>
      </c>
      <c r="D40" s="194" t="s">
        <v>29</v>
      </c>
      <c r="E40" s="105">
        <v>415.3</v>
      </c>
      <c r="F40" s="105">
        <v>1600</v>
      </c>
      <c r="G40" s="105">
        <v>1600</v>
      </c>
      <c r="H40" s="105">
        <f t="shared" si="1"/>
        <v>0</v>
      </c>
      <c r="I40" s="105">
        <f t="shared" si="0"/>
        <v>1184.7</v>
      </c>
      <c r="J40" s="105"/>
      <c r="K40" s="105">
        <v>1600</v>
      </c>
      <c r="L40" s="105">
        <v>1600</v>
      </c>
    </row>
    <row r="41" spans="1:12" s="190" customFormat="1" ht="19.5" customHeight="1">
      <c r="A41" s="318"/>
      <c r="B41" s="316"/>
      <c r="C41" s="313">
        <v>4231</v>
      </c>
      <c r="D41" s="195" t="s">
        <v>30</v>
      </c>
      <c r="E41" s="105">
        <v>0</v>
      </c>
      <c r="F41" s="105"/>
      <c r="G41" s="105"/>
      <c r="H41" s="105">
        <f t="shared" si="1"/>
        <v>0</v>
      </c>
      <c r="I41" s="105">
        <f t="shared" si="0"/>
        <v>0</v>
      </c>
      <c r="J41" s="105"/>
      <c r="K41" s="105"/>
      <c r="L41" s="105"/>
    </row>
    <row r="42" spans="1:12" s="190" customFormat="1" ht="16.5">
      <c r="A42" s="318"/>
      <c r="B42" s="316"/>
      <c r="C42" s="313">
        <v>4232</v>
      </c>
      <c r="D42" s="195" t="s">
        <v>31</v>
      </c>
      <c r="E42" s="105">
        <v>3846</v>
      </c>
      <c r="F42" s="105">
        <v>3632</v>
      </c>
      <c r="G42" s="105">
        <v>3632</v>
      </c>
      <c r="H42" s="105">
        <f t="shared" si="1"/>
        <v>0</v>
      </c>
      <c r="I42" s="105">
        <f aca="true" t="shared" si="2" ref="I42:I75">G42-E42</f>
        <v>-214</v>
      </c>
      <c r="J42" s="294"/>
      <c r="K42" s="105">
        <v>3632</v>
      </c>
      <c r="L42" s="105">
        <v>3632</v>
      </c>
    </row>
    <row r="43" spans="1:12" s="190" customFormat="1" ht="28.5">
      <c r="A43" s="318"/>
      <c r="B43" s="316"/>
      <c r="C43" s="313">
        <v>4233</v>
      </c>
      <c r="D43" s="195" t="s">
        <v>205</v>
      </c>
      <c r="E43" s="105">
        <v>220</v>
      </c>
      <c r="F43" s="105">
        <v>616</v>
      </c>
      <c r="G43" s="105">
        <v>616</v>
      </c>
      <c r="H43" s="105">
        <f t="shared" si="1"/>
        <v>0</v>
      </c>
      <c r="I43" s="105">
        <f t="shared" si="2"/>
        <v>396</v>
      </c>
      <c r="J43" s="294"/>
      <c r="K43" s="105">
        <v>616</v>
      </c>
      <c r="L43" s="105">
        <v>616</v>
      </c>
    </row>
    <row r="44" spans="1:12" s="190" customFormat="1" ht="18.75" customHeight="1">
      <c r="A44" s="318"/>
      <c r="B44" s="316"/>
      <c r="C44" s="313">
        <v>4234</v>
      </c>
      <c r="D44" s="195" t="s">
        <v>32</v>
      </c>
      <c r="E44" s="204">
        <v>19.6</v>
      </c>
      <c r="F44" s="204">
        <v>200</v>
      </c>
      <c r="G44" s="204">
        <v>200</v>
      </c>
      <c r="H44" s="204">
        <f t="shared" si="1"/>
        <v>0</v>
      </c>
      <c r="I44" s="204">
        <f t="shared" si="2"/>
        <v>180.4</v>
      </c>
      <c r="J44" s="204"/>
      <c r="K44" s="204">
        <v>200</v>
      </c>
      <c r="L44" s="204">
        <v>200</v>
      </c>
    </row>
    <row r="45" spans="1:12" s="187" customFormat="1" ht="18.75" customHeight="1">
      <c r="A45" s="318"/>
      <c r="B45" s="316"/>
      <c r="C45" s="313">
        <v>4235</v>
      </c>
      <c r="D45" s="195" t="s">
        <v>33</v>
      </c>
      <c r="E45" s="204">
        <v>14000</v>
      </c>
      <c r="F45" s="204">
        <v>12500</v>
      </c>
      <c r="G45" s="204">
        <v>12500</v>
      </c>
      <c r="H45" s="204">
        <f t="shared" si="1"/>
        <v>0</v>
      </c>
      <c r="I45" s="204">
        <f t="shared" si="2"/>
        <v>-1500</v>
      </c>
      <c r="J45" s="204"/>
      <c r="K45" s="204">
        <v>12500</v>
      </c>
      <c r="L45" s="204">
        <v>12500</v>
      </c>
    </row>
    <row r="46" spans="1:12" s="190" customFormat="1" ht="28.5">
      <c r="A46" s="318"/>
      <c r="B46" s="316"/>
      <c r="C46" s="313">
        <v>4236</v>
      </c>
      <c r="D46" s="195" t="s">
        <v>34</v>
      </c>
      <c r="E46" s="204">
        <v>0</v>
      </c>
      <c r="F46" s="204">
        <v>0</v>
      </c>
      <c r="G46" s="204">
        <v>0</v>
      </c>
      <c r="H46" s="204">
        <f t="shared" si="1"/>
        <v>0</v>
      </c>
      <c r="I46" s="204">
        <f t="shared" si="2"/>
        <v>0</v>
      </c>
      <c r="J46" s="204"/>
      <c r="K46" s="204">
        <v>0</v>
      </c>
      <c r="L46" s="204">
        <v>0</v>
      </c>
    </row>
    <row r="47" spans="1:12" s="187" customFormat="1" ht="18.75" customHeight="1">
      <c r="A47" s="318"/>
      <c r="B47" s="316"/>
      <c r="C47" s="313">
        <v>4237</v>
      </c>
      <c r="D47" s="195" t="s">
        <v>35</v>
      </c>
      <c r="E47" s="204">
        <v>817</v>
      </c>
      <c r="F47" s="204">
        <v>300</v>
      </c>
      <c r="G47" s="204">
        <v>300</v>
      </c>
      <c r="H47" s="204">
        <f t="shared" si="1"/>
        <v>0</v>
      </c>
      <c r="I47" s="204">
        <f t="shared" si="2"/>
        <v>-517</v>
      </c>
      <c r="J47" s="204"/>
      <c r="K47" s="204">
        <v>300</v>
      </c>
      <c r="L47" s="204">
        <v>300</v>
      </c>
    </row>
    <row r="48" spans="1:12" s="187" customFormat="1" ht="18.75" customHeight="1">
      <c r="A48" s="318"/>
      <c r="B48" s="316"/>
      <c r="C48" s="313">
        <v>4239</v>
      </c>
      <c r="D48" s="193" t="s">
        <v>36</v>
      </c>
      <c r="E48" s="186">
        <v>100</v>
      </c>
      <c r="F48" s="186">
        <v>100</v>
      </c>
      <c r="G48" s="186">
        <v>100</v>
      </c>
      <c r="H48" s="186">
        <f t="shared" si="1"/>
        <v>0</v>
      </c>
      <c r="I48" s="186">
        <f t="shared" si="2"/>
        <v>0</v>
      </c>
      <c r="J48" s="186"/>
      <c r="K48" s="186">
        <v>100</v>
      </c>
      <c r="L48" s="186">
        <v>100</v>
      </c>
    </row>
    <row r="49" spans="1:12" s="187" customFormat="1" ht="18.75" customHeight="1">
      <c r="A49" s="318"/>
      <c r="B49" s="316"/>
      <c r="C49" s="313">
        <v>4241</v>
      </c>
      <c r="D49" s="195" t="s">
        <v>37</v>
      </c>
      <c r="E49" s="204">
        <v>169.4</v>
      </c>
      <c r="F49" s="204">
        <v>170</v>
      </c>
      <c r="G49" s="204">
        <v>170</v>
      </c>
      <c r="H49" s="204">
        <f t="shared" si="1"/>
        <v>0</v>
      </c>
      <c r="I49" s="204">
        <f t="shared" si="2"/>
        <v>0.5999999999999943</v>
      </c>
      <c r="J49" s="204"/>
      <c r="K49" s="204">
        <v>170</v>
      </c>
      <c r="L49" s="204">
        <v>170</v>
      </c>
    </row>
    <row r="50" spans="1:12" s="187" customFormat="1" ht="28.5">
      <c r="A50" s="318"/>
      <c r="B50" s="316"/>
      <c r="C50" s="313">
        <v>4251</v>
      </c>
      <c r="D50" s="193" t="s">
        <v>38</v>
      </c>
      <c r="E50" s="186">
        <v>2383</v>
      </c>
      <c r="F50" s="186">
        <v>2940.7</v>
      </c>
      <c r="G50" s="186">
        <v>2940.7</v>
      </c>
      <c r="H50" s="186">
        <f t="shared" si="1"/>
        <v>0</v>
      </c>
      <c r="I50" s="186">
        <f t="shared" si="2"/>
        <v>557.6999999999998</v>
      </c>
      <c r="J50" s="186"/>
      <c r="K50" s="186">
        <v>2940.7</v>
      </c>
      <c r="L50" s="186">
        <v>2940.7</v>
      </c>
    </row>
    <row r="51" spans="1:12" s="187" customFormat="1" ht="28.5">
      <c r="A51" s="318"/>
      <c r="B51" s="316"/>
      <c r="C51" s="314">
        <v>4252</v>
      </c>
      <c r="D51" s="271" t="s">
        <v>39</v>
      </c>
      <c r="E51" s="272">
        <f>E53+E54</f>
        <v>1649</v>
      </c>
      <c r="F51" s="272">
        <f>F53+F54</f>
        <v>1649.5</v>
      </c>
      <c r="G51" s="272">
        <f>G53+G54</f>
        <v>1649.5</v>
      </c>
      <c r="H51" s="272">
        <f t="shared" si="1"/>
        <v>0</v>
      </c>
      <c r="I51" s="272">
        <f t="shared" si="2"/>
        <v>0.5</v>
      </c>
      <c r="J51" s="272"/>
      <c r="K51" s="272">
        <f>K53+K54</f>
        <v>1649.5</v>
      </c>
      <c r="L51" s="272">
        <f>L53+L54</f>
        <v>1649.5</v>
      </c>
    </row>
    <row r="52" spans="1:12" s="187" customFormat="1" ht="13.5">
      <c r="A52" s="318"/>
      <c r="B52" s="316"/>
      <c r="C52" s="313"/>
      <c r="D52" s="194" t="s">
        <v>53</v>
      </c>
      <c r="E52" s="186"/>
      <c r="F52" s="186"/>
      <c r="G52" s="186"/>
      <c r="H52" s="186">
        <f t="shared" si="1"/>
        <v>0</v>
      </c>
      <c r="I52" s="186">
        <f t="shared" si="2"/>
        <v>0</v>
      </c>
      <c r="J52" s="186"/>
      <c r="K52" s="186"/>
      <c r="L52" s="186"/>
    </row>
    <row r="53" spans="1:12" s="190" customFormat="1" ht="27">
      <c r="A53" s="318"/>
      <c r="B53" s="316"/>
      <c r="C53" s="313"/>
      <c r="D53" s="201" t="s">
        <v>40</v>
      </c>
      <c r="E53" s="186">
        <v>999</v>
      </c>
      <c r="F53" s="186">
        <v>999.5</v>
      </c>
      <c r="G53" s="186">
        <v>999.5</v>
      </c>
      <c r="H53" s="186">
        <f t="shared" si="1"/>
        <v>0</v>
      </c>
      <c r="I53" s="186">
        <f t="shared" si="2"/>
        <v>0.5</v>
      </c>
      <c r="J53" s="186"/>
      <c r="K53" s="186">
        <v>999.5</v>
      </c>
      <c r="L53" s="186">
        <v>999.5</v>
      </c>
    </row>
    <row r="54" spans="1:12" s="190" customFormat="1" ht="27">
      <c r="A54" s="318"/>
      <c r="B54" s="316"/>
      <c r="C54" s="313"/>
      <c r="D54" s="201" t="s">
        <v>41</v>
      </c>
      <c r="E54" s="186">
        <v>650</v>
      </c>
      <c r="F54" s="186">
        <v>650</v>
      </c>
      <c r="G54" s="186">
        <v>650</v>
      </c>
      <c r="H54" s="186">
        <f t="shared" si="1"/>
        <v>0</v>
      </c>
      <c r="I54" s="186">
        <f t="shared" si="2"/>
        <v>0</v>
      </c>
      <c r="J54" s="186"/>
      <c r="K54" s="186">
        <v>650</v>
      </c>
      <c r="L54" s="186">
        <v>650</v>
      </c>
    </row>
    <row r="55" spans="1:12" s="190" customFormat="1" ht="14.25">
      <c r="A55" s="318"/>
      <c r="B55" s="316"/>
      <c r="C55" s="314">
        <v>4261</v>
      </c>
      <c r="D55" s="271" t="s">
        <v>42</v>
      </c>
      <c r="E55" s="272">
        <f>E57+E58</f>
        <v>1594.6</v>
      </c>
      <c r="F55" s="272">
        <f>F57+F58</f>
        <v>1635.6</v>
      </c>
      <c r="G55" s="272">
        <f>G57+G58</f>
        <v>1635.6</v>
      </c>
      <c r="H55" s="272">
        <f t="shared" si="1"/>
        <v>0</v>
      </c>
      <c r="I55" s="272">
        <f t="shared" si="2"/>
        <v>41</v>
      </c>
      <c r="J55" s="272"/>
      <c r="K55" s="272">
        <f>K57+K58</f>
        <v>1635.6</v>
      </c>
      <c r="L55" s="272">
        <f>L57+L58</f>
        <v>1635.6</v>
      </c>
    </row>
    <row r="56" spans="1:12" s="190" customFormat="1" ht="13.5">
      <c r="A56" s="318"/>
      <c r="B56" s="316"/>
      <c r="C56" s="313"/>
      <c r="D56" s="194" t="s">
        <v>53</v>
      </c>
      <c r="E56" s="204"/>
      <c r="F56" s="204"/>
      <c r="G56" s="204"/>
      <c r="H56" s="204">
        <f t="shared" si="1"/>
        <v>0</v>
      </c>
      <c r="I56" s="204">
        <f t="shared" si="2"/>
        <v>0</v>
      </c>
      <c r="J56" s="204"/>
      <c r="K56" s="204"/>
      <c r="L56" s="204"/>
    </row>
    <row r="57" spans="1:12" s="190" customFormat="1" ht="13.5">
      <c r="A57" s="318"/>
      <c r="B57" s="316"/>
      <c r="C57" s="313"/>
      <c r="D57" s="194" t="s">
        <v>43</v>
      </c>
      <c r="E57" s="204">
        <v>1594.6</v>
      </c>
      <c r="F57" s="204">
        <v>1635.6</v>
      </c>
      <c r="G57" s="204">
        <v>1635.6</v>
      </c>
      <c r="H57" s="204">
        <f t="shared" si="1"/>
        <v>0</v>
      </c>
      <c r="I57" s="204">
        <f t="shared" si="2"/>
        <v>41</v>
      </c>
      <c r="J57" s="204"/>
      <c r="K57" s="204">
        <v>1635.6</v>
      </c>
      <c r="L57" s="204">
        <v>1635.6</v>
      </c>
    </row>
    <row r="58" spans="1:12" s="190" customFormat="1" ht="13.5">
      <c r="A58" s="318"/>
      <c r="B58" s="316"/>
      <c r="C58" s="313"/>
      <c r="D58" s="194" t="s">
        <v>44</v>
      </c>
      <c r="E58" s="204"/>
      <c r="F58" s="204"/>
      <c r="G58" s="204"/>
      <c r="H58" s="204">
        <f t="shared" si="1"/>
        <v>0</v>
      </c>
      <c r="I58" s="204">
        <f t="shared" si="2"/>
        <v>0</v>
      </c>
      <c r="J58" s="204"/>
      <c r="K58" s="204"/>
      <c r="L58" s="204"/>
    </row>
    <row r="59" spans="1:12" s="190" customFormat="1" ht="14.25">
      <c r="A59" s="318"/>
      <c r="B59" s="316"/>
      <c r="C59" s="313">
        <v>4262</v>
      </c>
      <c r="D59" s="195" t="s">
        <v>178</v>
      </c>
      <c r="E59" s="204"/>
      <c r="F59" s="204"/>
      <c r="G59" s="204"/>
      <c r="H59" s="204">
        <f t="shared" si="1"/>
        <v>0</v>
      </c>
      <c r="I59" s="204">
        <f t="shared" si="2"/>
        <v>0</v>
      </c>
      <c r="J59" s="204"/>
      <c r="K59" s="204"/>
      <c r="L59" s="204"/>
    </row>
    <row r="60" spans="1:12" s="190" customFormat="1" ht="14.25">
      <c r="A60" s="318"/>
      <c r="B60" s="316"/>
      <c r="C60" s="313">
        <v>4264</v>
      </c>
      <c r="D60" s="195" t="s">
        <v>177</v>
      </c>
      <c r="E60" s="204">
        <v>3584.6</v>
      </c>
      <c r="F60" s="204">
        <v>3759.5</v>
      </c>
      <c r="G60" s="204">
        <v>3759.5</v>
      </c>
      <c r="H60" s="204">
        <f t="shared" si="1"/>
        <v>0</v>
      </c>
      <c r="I60" s="204">
        <f t="shared" si="2"/>
        <v>174.9000000000001</v>
      </c>
      <c r="J60" s="204"/>
      <c r="K60" s="204">
        <v>3759.5</v>
      </c>
      <c r="L60" s="204">
        <v>3759.5</v>
      </c>
    </row>
    <row r="61" spans="1:12" s="190" customFormat="1" ht="22.5" customHeight="1">
      <c r="A61" s="318"/>
      <c r="B61" s="316"/>
      <c r="C61" s="313">
        <v>4266</v>
      </c>
      <c r="D61" s="195" t="s">
        <v>229</v>
      </c>
      <c r="E61" s="204">
        <v>0</v>
      </c>
      <c r="F61" s="204"/>
      <c r="G61" s="204"/>
      <c r="H61" s="204">
        <f t="shared" si="1"/>
        <v>0</v>
      </c>
      <c r="I61" s="204">
        <f t="shared" si="2"/>
        <v>0</v>
      </c>
      <c r="J61" s="204"/>
      <c r="K61" s="204"/>
      <c r="L61" s="204"/>
    </row>
    <row r="62" spans="1:12" s="190" customFormat="1" ht="14.25">
      <c r="A62" s="318"/>
      <c r="B62" s="316"/>
      <c r="C62" s="313">
        <v>4267</v>
      </c>
      <c r="D62" s="195" t="s">
        <v>179</v>
      </c>
      <c r="E62" s="204">
        <v>367.6</v>
      </c>
      <c r="F62" s="204">
        <v>400.7</v>
      </c>
      <c r="G62" s="204">
        <v>400.7</v>
      </c>
      <c r="H62" s="204">
        <f t="shared" si="1"/>
        <v>0</v>
      </c>
      <c r="I62" s="204">
        <f t="shared" si="2"/>
        <v>33.099999999999966</v>
      </c>
      <c r="J62" s="204"/>
      <c r="K62" s="204">
        <v>400.7</v>
      </c>
      <c r="L62" s="204">
        <v>400.7</v>
      </c>
    </row>
    <row r="63" spans="1:12" s="190" customFormat="1" ht="14.25">
      <c r="A63" s="318"/>
      <c r="B63" s="316"/>
      <c r="C63" s="313">
        <v>4269</v>
      </c>
      <c r="D63" s="195" t="s">
        <v>45</v>
      </c>
      <c r="E63" s="204"/>
      <c r="F63" s="204"/>
      <c r="G63" s="204"/>
      <c r="H63" s="204">
        <f t="shared" si="1"/>
        <v>0</v>
      </c>
      <c r="I63" s="204">
        <f t="shared" si="2"/>
        <v>0</v>
      </c>
      <c r="J63" s="204"/>
      <c r="K63" s="204"/>
      <c r="L63" s="204"/>
    </row>
    <row r="64" spans="1:12" s="190" customFormat="1" ht="28.5" hidden="1">
      <c r="A64" s="318"/>
      <c r="B64" s="316"/>
      <c r="C64" s="313">
        <v>4511</v>
      </c>
      <c r="D64" s="193" t="s">
        <v>46</v>
      </c>
      <c r="E64" s="204"/>
      <c r="F64" s="204"/>
      <c r="G64" s="204"/>
      <c r="H64" s="204">
        <f t="shared" si="1"/>
        <v>0</v>
      </c>
      <c r="I64" s="204">
        <f t="shared" si="2"/>
        <v>0</v>
      </c>
      <c r="J64" s="204"/>
      <c r="K64" s="204"/>
      <c r="L64" s="204"/>
    </row>
    <row r="65" spans="1:12" s="192" customFormat="1" ht="28.5" hidden="1">
      <c r="A65" s="318"/>
      <c r="B65" s="316"/>
      <c r="C65" s="313">
        <v>4621</v>
      </c>
      <c r="D65" s="193" t="s">
        <v>47</v>
      </c>
      <c r="E65" s="204"/>
      <c r="F65" s="204"/>
      <c r="G65" s="204"/>
      <c r="H65" s="204">
        <f t="shared" si="1"/>
        <v>0</v>
      </c>
      <c r="I65" s="204">
        <f t="shared" si="2"/>
        <v>0</v>
      </c>
      <c r="J65" s="295"/>
      <c r="K65" s="204"/>
      <c r="L65" s="204"/>
    </row>
    <row r="66" spans="1:12" s="192" customFormat="1" ht="28.5" hidden="1">
      <c r="A66" s="318"/>
      <c r="B66" s="316"/>
      <c r="C66" s="313">
        <v>4631</v>
      </c>
      <c r="D66" s="193" t="s">
        <v>204</v>
      </c>
      <c r="E66" s="204"/>
      <c r="F66" s="204"/>
      <c r="G66" s="204"/>
      <c r="H66" s="204">
        <f t="shared" si="1"/>
        <v>0</v>
      </c>
      <c r="I66" s="204">
        <f t="shared" si="2"/>
        <v>0</v>
      </c>
      <c r="J66" s="295"/>
      <c r="K66" s="204"/>
      <c r="L66" s="204"/>
    </row>
    <row r="67" spans="1:12" s="192" customFormat="1" ht="21.75" customHeight="1" hidden="1">
      <c r="A67" s="318"/>
      <c r="B67" s="316"/>
      <c r="C67" s="313">
        <v>4632</v>
      </c>
      <c r="D67" s="193" t="s">
        <v>168</v>
      </c>
      <c r="E67" s="204"/>
      <c r="F67" s="204"/>
      <c r="G67" s="204"/>
      <c r="H67" s="204">
        <f t="shared" si="1"/>
        <v>0</v>
      </c>
      <c r="I67" s="204">
        <f t="shared" si="2"/>
        <v>0</v>
      </c>
      <c r="J67" s="204"/>
      <c r="K67" s="204"/>
      <c r="L67" s="204"/>
    </row>
    <row r="68" spans="1:12" s="192" customFormat="1" ht="42" customHeight="1" hidden="1">
      <c r="A68" s="318"/>
      <c r="B68" s="316"/>
      <c r="C68" s="313" t="s">
        <v>269</v>
      </c>
      <c r="D68" s="193" t="s">
        <v>270</v>
      </c>
      <c r="E68" s="204"/>
      <c r="F68" s="204"/>
      <c r="G68" s="204"/>
      <c r="H68" s="204"/>
      <c r="I68" s="204"/>
      <c r="J68" s="204"/>
      <c r="K68" s="204"/>
      <c r="L68" s="204"/>
    </row>
    <row r="69" spans="1:12" s="192" customFormat="1" ht="48.75" customHeight="1" hidden="1">
      <c r="A69" s="318"/>
      <c r="B69" s="316"/>
      <c r="C69" s="313">
        <v>4638</v>
      </c>
      <c r="D69" s="193" t="s">
        <v>272</v>
      </c>
      <c r="E69" s="204"/>
      <c r="F69" s="204"/>
      <c r="G69" s="204"/>
      <c r="H69" s="204">
        <f t="shared" si="1"/>
        <v>0</v>
      </c>
      <c r="I69" s="204">
        <f t="shared" si="2"/>
        <v>0</v>
      </c>
      <c r="J69" s="204"/>
      <c r="K69" s="204"/>
      <c r="L69" s="204"/>
    </row>
    <row r="70" spans="1:12" s="192" customFormat="1" ht="23.25" customHeight="1" hidden="1">
      <c r="A70" s="318"/>
      <c r="B70" s="316"/>
      <c r="C70" s="313" t="s">
        <v>206</v>
      </c>
      <c r="D70" s="193" t="s">
        <v>207</v>
      </c>
      <c r="E70" s="204"/>
      <c r="F70" s="204"/>
      <c r="G70" s="204"/>
      <c r="H70" s="204">
        <f t="shared" si="1"/>
        <v>0</v>
      </c>
      <c r="I70" s="204">
        <f t="shared" si="2"/>
        <v>0</v>
      </c>
      <c r="J70" s="204"/>
      <c r="K70" s="204"/>
      <c r="L70" s="204"/>
    </row>
    <row r="71" spans="1:12" s="192" customFormat="1" ht="42.75" hidden="1">
      <c r="A71" s="318"/>
      <c r="B71" s="316"/>
      <c r="C71" s="313" t="s">
        <v>283</v>
      </c>
      <c r="D71" s="193" t="s">
        <v>284</v>
      </c>
      <c r="E71" s="204"/>
      <c r="F71" s="204"/>
      <c r="G71" s="204"/>
      <c r="H71" s="204">
        <f>+G71-F71</f>
        <v>0</v>
      </c>
      <c r="I71" s="204">
        <f>G71-E71</f>
        <v>0</v>
      </c>
      <c r="J71" s="204"/>
      <c r="K71" s="204"/>
      <c r="L71" s="204"/>
    </row>
    <row r="72" spans="1:12" s="192" customFormat="1" ht="21" customHeight="1">
      <c r="A72" s="318"/>
      <c r="B72" s="316"/>
      <c r="C72" s="313">
        <v>4729</v>
      </c>
      <c r="D72" s="195" t="s">
        <v>48</v>
      </c>
      <c r="E72" s="208">
        <v>47580</v>
      </c>
      <c r="F72" s="208">
        <v>50000</v>
      </c>
      <c r="G72" s="204">
        <v>50000</v>
      </c>
      <c r="H72" s="204">
        <f t="shared" si="1"/>
        <v>0</v>
      </c>
      <c r="I72" s="204">
        <f t="shared" si="2"/>
        <v>2420</v>
      </c>
      <c r="J72" s="208"/>
      <c r="K72" s="208">
        <v>50000</v>
      </c>
      <c r="L72" s="208">
        <v>50000</v>
      </c>
    </row>
    <row r="73" spans="1:12" s="192" customFormat="1" ht="22.5" customHeight="1" hidden="1">
      <c r="A73" s="318"/>
      <c r="B73" s="316"/>
      <c r="C73" s="313">
        <v>4822</v>
      </c>
      <c r="D73" s="195" t="s">
        <v>49</v>
      </c>
      <c r="E73" s="208"/>
      <c r="F73" s="208"/>
      <c r="G73" s="204"/>
      <c r="H73" s="204">
        <f t="shared" si="1"/>
        <v>0</v>
      </c>
      <c r="I73" s="204">
        <f t="shared" si="2"/>
        <v>0</v>
      </c>
      <c r="J73" s="208"/>
      <c r="K73" s="204"/>
      <c r="L73" s="204"/>
    </row>
    <row r="74" spans="1:12" s="192" customFormat="1" ht="19.5" customHeight="1">
      <c r="A74" s="318"/>
      <c r="B74" s="316"/>
      <c r="C74" s="314">
        <v>4823</v>
      </c>
      <c r="D74" s="271" t="s">
        <v>50</v>
      </c>
      <c r="E74" s="272">
        <f>E76+E77+E78</f>
        <v>186</v>
      </c>
      <c r="F74" s="272">
        <f>F76+F77+F78</f>
        <v>188</v>
      </c>
      <c r="G74" s="272">
        <f>G76+G77+G78</f>
        <v>188</v>
      </c>
      <c r="H74" s="272">
        <f t="shared" si="1"/>
        <v>0</v>
      </c>
      <c r="I74" s="272">
        <f t="shared" si="2"/>
        <v>2</v>
      </c>
      <c r="J74" s="272"/>
      <c r="K74" s="272">
        <f>K76+K77+K78</f>
        <v>188</v>
      </c>
      <c r="L74" s="272">
        <f>L76+L77+L78</f>
        <v>188</v>
      </c>
    </row>
    <row r="75" spans="1:12" s="192" customFormat="1" ht="14.25">
      <c r="A75" s="318"/>
      <c r="B75" s="316"/>
      <c r="C75" s="313"/>
      <c r="D75" s="194" t="s">
        <v>53</v>
      </c>
      <c r="E75" s="208"/>
      <c r="F75" s="208"/>
      <c r="G75" s="204"/>
      <c r="H75" s="204">
        <f t="shared" si="1"/>
        <v>0</v>
      </c>
      <c r="I75" s="204">
        <f t="shared" si="2"/>
        <v>0</v>
      </c>
      <c r="J75" s="208"/>
      <c r="K75" s="204"/>
      <c r="L75" s="204"/>
    </row>
    <row r="76" spans="1:12" s="190" customFormat="1" ht="27">
      <c r="A76" s="318"/>
      <c r="B76" s="316"/>
      <c r="C76" s="313"/>
      <c r="D76" s="194" t="s">
        <v>167</v>
      </c>
      <c r="E76" s="208">
        <v>42</v>
      </c>
      <c r="F76" s="208">
        <v>44</v>
      </c>
      <c r="G76" s="208">
        <v>44</v>
      </c>
      <c r="H76" s="204">
        <f aca="true" t="shared" si="3" ref="H76:H91">+G76-F76</f>
        <v>0</v>
      </c>
      <c r="I76" s="204">
        <f aca="true" t="shared" si="4" ref="I76:I83">G76-E76</f>
        <v>2</v>
      </c>
      <c r="J76" s="208"/>
      <c r="K76" s="208">
        <v>44</v>
      </c>
      <c r="L76" s="208">
        <v>44</v>
      </c>
    </row>
    <row r="77" spans="1:12" ht="27.75" customHeight="1">
      <c r="A77" s="318"/>
      <c r="B77" s="316"/>
      <c r="C77" s="313"/>
      <c r="D77" s="194" t="s">
        <v>165</v>
      </c>
      <c r="E77" s="208">
        <v>144</v>
      </c>
      <c r="F77" s="208">
        <v>144</v>
      </c>
      <c r="G77" s="208">
        <v>144</v>
      </c>
      <c r="H77" s="204">
        <f t="shared" si="3"/>
        <v>0</v>
      </c>
      <c r="I77" s="204">
        <f t="shared" si="4"/>
        <v>0</v>
      </c>
      <c r="J77" s="208"/>
      <c r="K77" s="208">
        <v>144</v>
      </c>
      <c r="L77" s="208">
        <v>144</v>
      </c>
    </row>
    <row r="78" spans="1:12" ht="14.25">
      <c r="A78" s="318"/>
      <c r="B78" s="316"/>
      <c r="C78" s="313"/>
      <c r="D78" s="194" t="s">
        <v>166</v>
      </c>
      <c r="E78" s="208">
        <v>0</v>
      </c>
      <c r="F78" s="208"/>
      <c r="G78" s="204"/>
      <c r="H78" s="204">
        <f t="shared" si="3"/>
        <v>0</v>
      </c>
      <c r="I78" s="204">
        <f t="shared" si="4"/>
        <v>0</v>
      </c>
      <c r="J78" s="208"/>
      <c r="K78" s="204"/>
      <c r="L78" s="204"/>
    </row>
    <row r="79" spans="1:12" ht="31.5" customHeight="1">
      <c r="A79" s="318"/>
      <c r="B79" s="316"/>
      <c r="C79" s="313" t="s">
        <v>228</v>
      </c>
      <c r="D79" s="195" t="s">
        <v>241</v>
      </c>
      <c r="E79" s="208"/>
      <c r="F79" s="208"/>
      <c r="G79" s="204"/>
      <c r="H79" s="204">
        <f t="shared" si="3"/>
        <v>0</v>
      </c>
      <c r="I79" s="204">
        <f t="shared" si="4"/>
        <v>0</v>
      </c>
      <c r="J79" s="208"/>
      <c r="K79" s="204"/>
      <c r="L79" s="204"/>
    </row>
    <row r="80" spans="1:12" ht="31.5" customHeight="1">
      <c r="A80" s="318"/>
      <c r="B80" s="316"/>
      <c r="C80" s="313">
        <v>4831</v>
      </c>
      <c r="D80" s="193" t="s">
        <v>285</v>
      </c>
      <c r="E80" s="208"/>
      <c r="F80" s="208"/>
      <c r="G80" s="204"/>
      <c r="H80" s="204">
        <f>+G80-F80</f>
        <v>0</v>
      </c>
      <c r="I80" s="204">
        <f>G80-E80</f>
        <v>0</v>
      </c>
      <c r="J80" s="208"/>
      <c r="K80" s="204"/>
      <c r="L80" s="204"/>
    </row>
    <row r="81" spans="1:12" ht="43.5" customHeight="1">
      <c r="A81" s="318"/>
      <c r="B81" s="316"/>
      <c r="C81" s="313">
        <v>4851</v>
      </c>
      <c r="D81" s="193" t="s">
        <v>286</v>
      </c>
      <c r="E81" s="208"/>
      <c r="F81" s="208"/>
      <c r="G81" s="204"/>
      <c r="H81" s="204">
        <f>+G81-F81</f>
        <v>0</v>
      </c>
      <c r="I81" s="204">
        <f>G81-E81</f>
        <v>0</v>
      </c>
      <c r="J81" s="208"/>
      <c r="K81" s="204"/>
      <c r="L81" s="204"/>
    </row>
    <row r="82" spans="1:12" s="205" customFormat="1" ht="19.5" customHeight="1">
      <c r="A82" s="318"/>
      <c r="B82" s="316"/>
      <c r="C82" s="313">
        <v>4861</v>
      </c>
      <c r="D82" s="195" t="s">
        <v>51</v>
      </c>
      <c r="E82" s="208"/>
      <c r="F82" s="208"/>
      <c r="G82" s="204"/>
      <c r="H82" s="204">
        <f t="shared" si="3"/>
        <v>0</v>
      </c>
      <c r="I82" s="204">
        <f t="shared" si="4"/>
        <v>0</v>
      </c>
      <c r="J82" s="208"/>
      <c r="K82" s="204"/>
      <c r="L82" s="204"/>
    </row>
    <row r="83" spans="1:12" ht="19.5" customHeight="1">
      <c r="A83" s="319"/>
      <c r="B83" s="317"/>
      <c r="C83" s="313">
        <v>4891</v>
      </c>
      <c r="D83" s="195" t="s">
        <v>52</v>
      </c>
      <c r="E83" s="204"/>
      <c r="F83" s="204"/>
      <c r="G83" s="204"/>
      <c r="H83" s="204">
        <f t="shared" si="3"/>
        <v>0</v>
      </c>
      <c r="I83" s="204">
        <f t="shared" si="4"/>
        <v>0</v>
      </c>
      <c r="J83" s="204"/>
      <c r="K83" s="204"/>
      <c r="L83" s="204"/>
    </row>
    <row r="84" spans="4:12" ht="9.75" customHeight="1">
      <c r="D84" s="270"/>
      <c r="E84" s="296"/>
      <c r="F84" s="296"/>
      <c r="G84" s="296"/>
      <c r="H84" s="296"/>
      <c r="I84" s="296"/>
      <c r="J84" s="296"/>
      <c r="K84" s="296"/>
      <c r="L84" s="296"/>
    </row>
    <row r="85" spans="1:12" s="24" customFormat="1" ht="28.5">
      <c r="A85" s="693" t="s">
        <v>233</v>
      </c>
      <c r="B85" s="693"/>
      <c r="C85" s="206"/>
      <c r="D85" s="33" t="s">
        <v>54</v>
      </c>
      <c r="E85" s="23">
        <f>SUM(E87:E91)</f>
        <v>0</v>
      </c>
      <c r="F85" s="23">
        <f>SUM(F87:F91)</f>
        <v>0</v>
      </c>
      <c r="G85" s="23">
        <f>SUM(G87:G91)</f>
        <v>9690</v>
      </c>
      <c r="H85" s="23">
        <f>+G85-F85</f>
        <v>9690</v>
      </c>
      <c r="I85" s="23">
        <f>G85-E85</f>
        <v>9690</v>
      </c>
      <c r="J85" s="23"/>
      <c r="K85" s="23">
        <f>SUM(K87:K91)</f>
        <v>0</v>
      </c>
      <c r="L85" s="23">
        <f>SUM(L87:L91)</f>
        <v>0</v>
      </c>
    </row>
    <row r="86" spans="1:12" s="16" customFormat="1" ht="23.25" customHeight="1">
      <c r="A86" s="302" t="s">
        <v>234</v>
      </c>
      <c r="B86" s="302" t="s">
        <v>235</v>
      </c>
      <c r="C86" s="207"/>
      <c r="D86" s="13" t="s">
        <v>53</v>
      </c>
      <c r="E86" s="14"/>
      <c r="F86" s="14"/>
      <c r="G86" s="14"/>
      <c r="H86" s="14"/>
      <c r="I86" s="14"/>
      <c r="J86" s="14"/>
      <c r="K86" s="14"/>
      <c r="L86" s="14"/>
    </row>
    <row r="87" spans="1:12" s="30" customFormat="1" ht="15.75" customHeight="1">
      <c r="A87" s="320"/>
      <c r="B87" s="320"/>
      <c r="C87" s="181">
        <v>5121</v>
      </c>
      <c r="D87" s="17" t="s">
        <v>55</v>
      </c>
      <c r="E87" s="34"/>
      <c r="F87" s="34"/>
      <c r="G87" s="174"/>
      <c r="H87" s="174">
        <f t="shared" si="3"/>
        <v>0</v>
      </c>
      <c r="I87" s="174">
        <f>G87-E87</f>
        <v>0</v>
      </c>
      <c r="J87" s="34"/>
      <c r="K87" s="174"/>
      <c r="L87" s="174"/>
    </row>
    <row r="88" spans="1:12" s="30" customFormat="1" ht="15.75" customHeight="1">
      <c r="A88" s="318"/>
      <c r="B88" s="318"/>
      <c r="C88" s="181">
        <v>5122</v>
      </c>
      <c r="D88" s="17" t="s">
        <v>56</v>
      </c>
      <c r="E88" s="34"/>
      <c r="F88" s="34"/>
      <c r="G88" s="174">
        <v>9690</v>
      </c>
      <c r="H88" s="174">
        <f t="shared" si="3"/>
        <v>9690</v>
      </c>
      <c r="I88" s="174">
        <f>G88-E88</f>
        <v>9690</v>
      </c>
      <c r="J88" s="34"/>
      <c r="K88" s="174"/>
      <c r="L88" s="174"/>
    </row>
    <row r="89" spans="1:12" s="30" customFormat="1" ht="14.25">
      <c r="A89" s="318"/>
      <c r="B89" s="318"/>
      <c r="C89" s="181">
        <v>5129</v>
      </c>
      <c r="D89" s="17" t="s">
        <v>57</v>
      </c>
      <c r="E89" s="34"/>
      <c r="F89" s="34"/>
      <c r="G89" s="174"/>
      <c r="H89" s="174">
        <f t="shared" si="3"/>
        <v>0</v>
      </c>
      <c r="I89" s="174">
        <f>G89-E89</f>
        <v>0</v>
      </c>
      <c r="J89" s="34"/>
      <c r="K89" s="174"/>
      <c r="L89" s="174"/>
    </row>
    <row r="90" spans="1:12" s="30" customFormat="1" ht="14.25">
      <c r="A90" s="318"/>
      <c r="B90" s="318"/>
      <c r="C90" s="181">
        <v>5131</v>
      </c>
      <c r="D90" s="17" t="s">
        <v>271</v>
      </c>
      <c r="E90" s="34"/>
      <c r="F90" s="34"/>
      <c r="G90" s="174"/>
      <c r="H90" s="174">
        <f>+G90-F90</f>
        <v>0</v>
      </c>
      <c r="I90" s="174">
        <f>G90-E90</f>
        <v>0</v>
      </c>
      <c r="J90" s="34"/>
      <c r="K90" s="174"/>
      <c r="L90" s="174"/>
    </row>
    <row r="91" spans="1:12" s="30" customFormat="1" ht="15.75" customHeight="1">
      <c r="A91" s="319"/>
      <c r="B91" s="319"/>
      <c r="C91" s="181">
        <v>5132</v>
      </c>
      <c r="D91" s="17" t="s">
        <v>58</v>
      </c>
      <c r="E91" s="34"/>
      <c r="F91" s="34"/>
      <c r="G91" s="174"/>
      <c r="H91" s="174">
        <f t="shared" si="3"/>
        <v>0</v>
      </c>
      <c r="I91" s="174">
        <f>G91-E91</f>
        <v>0</v>
      </c>
      <c r="J91" s="34"/>
      <c r="K91" s="174"/>
      <c r="L91" s="174"/>
    </row>
  </sheetData>
  <sheetProtection/>
  <mergeCells count="11">
    <mergeCell ref="A85:B85"/>
    <mergeCell ref="A7:B7"/>
    <mergeCell ref="D3:I3"/>
    <mergeCell ref="A10:A18"/>
    <mergeCell ref="B10:B12"/>
    <mergeCell ref="B13:B14"/>
    <mergeCell ref="B15:B16"/>
    <mergeCell ref="B17:B18"/>
    <mergeCell ref="C7:D7"/>
    <mergeCell ref="A6:B6"/>
    <mergeCell ref="A2:H2"/>
  </mergeCells>
  <conditionalFormatting sqref="C8:D8">
    <cfRule type="cellIs" priority="7" dxfId="8" operator="equal" stopIfTrue="1">
      <formula>0</formula>
    </cfRule>
  </conditionalFormatting>
  <conditionalFormatting sqref="D14:D15">
    <cfRule type="cellIs" priority="3" dxfId="8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7">
      <pane xSplit="1" ySplit="3" topLeftCell="B10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L48" sqref="L48"/>
    </sheetView>
  </sheetViews>
  <sheetFormatPr defaultColWidth="9.140625" defaultRowHeight="12.75"/>
  <cols>
    <col min="1" max="1" width="4.8515625" style="3" customWidth="1"/>
    <col min="2" max="2" width="49.421875" style="4" customWidth="1"/>
    <col min="3" max="3" width="11.57421875" style="4" customWidth="1"/>
    <col min="4" max="5" width="10.28125" style="4" customWidth="1"/>
    <col min="6" max="6" width="20.7109375" style="4" customWidth="1"/>
    <col min="7" max="8" width="10.28125" style="4" customWidth="1"/>
    <col min="9" max="9" width="20.7109375" style="4" customWidth="1"/>
    <col min="10" max="10" width="8.140625" style="4" bestFit="1" customWidth="1"/>
    <col min="11" max="11" width="10.28125" style="4" customWidth="1"/>
    <col min="12" max="12" width="20.8515625" style="4" customWidth="1"/>
    <col min="13" max="13" width="9.8515625" style="4" customWidth="1"/>
    <col min="14" max="14" width="10.28125" style="4" customWidth="1"/>
    <col min="15" max="15" width="21.00390625" style="4" customWidth="1"/>
    <col min="16" max="16" width="13.57421875" style="4" customWidth="1"/>
    <col min="17" max="16384" width="9.140625" style="4" customWidth="1"/>
  </cols>
  <sheetData>
    <row r="1" spans="1:15" s="28" customFormat="1" ht="13.5">
      <c r="A1" s="214"/>
      <c r="B1" s="2"/>
      <c r="C1" s="2"/>
      <c r="D1" s="2"/>
      <c r="E1" s="2"/>
      <c r="F1" s="72"/>
      <c r="G1" s="2"/>
      <c r="H1" s="2"/>
      <c r="I1" s="72"/>
      <c r="J1" s="72"/>
      <c r="K1" s="2"/>
      <c r="L1" s="27"/>
      <c r="M1" s="27"/>
      <c r="N1" s="2"/>
      <c r="O1" s="85" t="s">
        <v>216</v>
      </c>
    </row>
    <row r="2" spans="1:15" s="28" customFormat="1" ht="12.75" customHeight="1">
      <c r="A2" s="214"/>
      <c r="B2" s="2"/>
      <c r="C2" s="2"/>
      <c r="D2" s="2"/>
      <c r="E2" s="2"/>
      <c r="F2" s="72"/>
      <c r="G2" s="2"/>
      <c r="H2" s="2"/>
      <c r="I2" s="72"/>
      <c r="J2" s="72"/>
      <c r="K2" s="2"/>
      <c r="L2" s="706" t="s">
        <v>9</v>
      </c>
      <c r="M2" s="706"/>
      <c r="N2" s="706"/>
      <c r="O2" s="706"/>
    </row>
    <row r="3" spans="1:10" s="28" customFormat="1" ht="14.25" thickBot="1">
      <c r="A3" s="27"/>
      <c r="B3" s="139"/>
      <c r="C3" s="139"/>
      <c r="D3" s="139"/>
      <c r="E3" s="139"/>
      <c r="F3" s="139"/>
      <c r="G3" s="139"/>
      <c r="H3" s="139"/>
      <c r="I3" s="139"/>
      <c r="J3" s="139"/>
    </row>
    <row r="4" spans="1:18" s="121" customFormat="1" ht="17.25" customHeight="1">
      <c r="A4" s="27"/>
      <c r="B4" s="564" t="s">
        <v>10</v>
      </c>
      <c r="F4" s="278"/>
      <c r="I4" s="278"/>
      <c r="J4" s="322"/>
      <c r="L4" s="120"/>
      <c r="M4" s="120"/>
      <c r="O4" s="120"/>
      <c r="P4" s="120"/>
      <c r="Q4" s="120"/>
      <c r="R4" s="120"/>
    </row>
    <row r="5" spans="1:15" s="28" customFormat="1" ht="54.75" customHeight="1">
      <c r="A5" s="565" t="s">
        <v>614</v>
      </c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86"/>
    </row>
    <row r="6" spans="1:14" s="28" customFormat="1" ht="14.25" thickBot="1">
      <c r="A6" s="27"/>
      <c r="M6" s="261"/>
      <c r="N6" s="252"/>
    </row>
    <row r="7" spans="1:15" s="57" customFormat="1" ht="46.5" customHeight="1" thickBot="1">
      <c r="A7" s="279"/>
      <c r="B7" s="568"/>
      <c r="C7" s="569"/>
      <c r="D7" s="707" t="s">
        <v>610</v>
      </c>
      <c r="E7" s="708"/>
      <c r="F7" s="709"/>
      <c r="G7" s="707" t="s">
        <v>611</v>
      </c>
      <c r="H7" s="708"/>
      <c r="I7" s="709"/>
      <c r="J7" s="707" t="s">
        <v>612</v>
      </c>
      <c r="K7" s="708"/>
      <c r="L7" s="709"/>
      <c r="M7" s="710" t="s">
        <v>613</v>
      </c>
      <c r="N7" s="711"/>
      <c r="O7" s="712"/>
    </row>
    <row r="8" spans="1:15" s="70" customFormat="1" ht="55.5" customHeight="1" thickBot="1">
      <c r="A8" s="280" t="s">
        <v>5</v>
      </c>
      <c r="B8" s="279" t="s">
        <v>212</v>
      </c>
      <c r="C8" s="281" t="s">
        <v>215</v>
      </c>
      <c r="D8" s="273" t="s">
        <v>113</v>
      </c>
      <c r="E8" s="273" t="s">
        <v>615</v>
      </c>
      <c r="F8" s="268" t="s">
        <v>616</v>
      </c>
      <c r="G8" s="273" t="s">
        <v>113</v>
      </c>
      <c r="H8" s="273" t="s">
        <v>615</v>
      </c>
      <c r="I8" s="268" t="s">
        <v>616</v>
      </c>
      <c r="J8" s="273" t="s">
        <v>113</v>
      </c>
      <c r="K8" s="273" t="s">
        <v>615</v>
      </c>
      <c r="L8" s="268" t="s">
        <v>616</v>
      </c>
      <c r="M8" s="273" t="s">
        <v>113</v>
      </c>
      <c r="N8" s="273" t="s">
        <v>615</v>
      </c>
      <c r="O8" s="268" t="s">
        <v>616</v>
      </c>
    </row>
    <row r="9" spans="1:15" s="71" customFormat="1" ht="13.5" thickBot="1">
      <c r="A9" s="141">
        <v>1</v>
      </c>
      <c r="B9" s="287">
        <v>2</v>
      </c>
      <c r="C9" s="140">
        <v>3</v>
      </c>
      <c r="D9" s="142">
        <v>4</v>
      </c>
      <c r="E9" s="142"/>
      <c r="F9" s="142">
        <v>5</v>
      </c>
      <c r="G9" s="142">
        <v>4</v>
      </c>
      <c r="H9" s="142"/>
      <c r="I9" s="142">
        <v>5</v>
      </c>
      <c r="J9" s="142">
        <v>6</v>
      </c>
      <c r="K9" s="142"/>
      <c r="L9" s="142">
        <v>7</v>
      </c>
      <c r="M9" s="142">
        <v>8</v>
      </c>
      <c r="N9" s="142"/>
      <c r="O9" s="142">
        <v>9</v>
      </c>
    </row>
    <row r="10" spans="1:15" s="143" customFormat="1" ht="22.5" customHeight="1">
      <c r="A10" s="274">
        <v>1</v>
      </c>
      <c r="B10" s="288" t="s">
        <v>21</v>
      </c>
      <c r="C10" s="275">
        <v>4212</v>
      </c>
      <c r="D10" s="275"/>
      <c r="E10" s="275"/>
      <c r="F10" s="276">
        <f>SUM(F13:F15)</f>
        <v>9510</v>
      </c>
      <c r="G10" s="275"/>
      <c r="H10" s="275"/>
      <c r="I10" s="276">
        <f>SUM(I13:I15)</f>
        <v>14294</v>
      </c>
      <c r="J10" s="276"/>
      <c r="K10" s="275"/>
      <c r="L10" s="276">
        <f>SUM(L13:L15)</f>
        <v>14294</v>
      </c>
      <c r="M10" s="276">
        <f>J10-G10</f>
        <v>0</v>
      </c>
      <c r="N10" s="275"/>
      <c r="O10" s="276">
        <f>L10-I10</f>
        <v>0</v>
      </c>
    </row>
    <row r="11" spans="1:15" s="36" customFormat="1" ht="13.5">
      <c r="A11" s="52"/>
      <c r="B11" s="277" t="s">
        <v>79</v>
      </c>
      <c r="C11" s="52"/>
      <c r="D11" s="52"/>
      <c r="E11" s="52"/>
      <c r="F11" s="54"/>
      <c r="G11" s="52"/>
      <c r="H11" s="52"/>
      <c r="I11" s="54"/>
      <c r="J11" s="54"/>
      <c r="K11" s="52"/>
      <c r="L11" s="67"/>
      <c r="M11" s="67"/>
      <c r="N11" s="52"/>
      <c r="O11" s="67"/>
    </row>
    <row r="12" spans="1:15" s="36" customFormat="1" ht="13.5">
      <c r="A12" s="52"/>
      <c r="B12" s="289" t="s">
        <v>221</v>
      </c>
      <c r="C12" s="52"/>
      <c r="D12" s="52"/>
      <c r="E12" s="52"/>
      <c r="F12" s="54"/>
      <c r="G12" s="52"/>
      <c r="H12" s="52"/>
      <c r="I12" s="54"/>
      <c r="J12" s="54"/>
      <c r="K12" s="52"/>
      <c r="L12" s="67"/>
      <c r="M12" s="67"/>
      <c r="N12" s="52"/>
      <c r="O12" s="67"/>
    </row>
    <row r="13" spans="1:15" s="36" customFormat="1" ht="13.5">
      <c r="A13" s="52">
        <v>1</v>
      </c>
      <c r="B13" s="289" t="s">
        <v>341</v>
      </c>
      <c r="C13" s="52" t="s">
        <v>1</v>
      </c>
      <c r="D13" s="403">
        <v>58363</v>
      </c>
      <c r="E13" s="52">
        <v>53.48</v>
      </c>
      <c r="F13" s="54">
        <v>3121.3</v>
      </c>
      <c r="G13" s="403">
        <v>143756</v>
      </c>
      <c r="H13" s="52">
        <v>53.48</v>
      </c>
      <c r="I13" s="54">
        <v>7688.1</v>
      </c>
      <c r="J13" s="403">
        <v>143756</v>
      </c>
      <c r="K13" s="52">
        <v>53.48</v>
      </c>
      <c r="L13" s="54">
        <v>7688.1</v>
      </c>
      <c r="M13" s="54">
        <f>J13-G13</f>
        <v>0</v>
      </c>
      <c r="N13" s="52"/>
      <c r="O13" s="54">
        <f>L13-I13</f>
        <v>0</v>
      </c>
    </row>
    <row r="14" spans="1:15" s="36" customFormat="1" ht="13.5">
      <c r="A14" s="52">
        <v>2</v>
      </c>
      <c r="B14" s="289" t="s">
        <v>342</v>
      </c>
      <c r="C14" s="52" t="s">
        <v>1</v>
      </c>
      <c r="D14" s="52"/>
      <c r="E14" s="52"/>
      <c r="F14" s="54">
        <v>0</v>
      </c>
      <c r="G14" s="52"/>
      <c r="H14" s="52"/>
      <c r="I14" s="54">
        <v>0</v>
      </c>
      <c r="J14" s="52"/>
      <c r="K14" s="52"/>
      <c r="L14" s="54">
        <v>0</v>
      </c>
      <c r="M14" s="54">
        <f>J14-G14</f>
        <v>0</v>
      </c>
      <c r="N14" s="52"/>
      <c r="O14" s="54">
        <f>L14-I14</f>
        <v>0</v>
      </c>
    </row>
    <row r="15" spans="1:15" s="36" customFormat="1" ht="13.5">
      <c r="A15" s="52">
        <v>3</v>
      </c>
      <c r="B15" s="289" t="s">
        <v>343</v>
      </c>
      <c r="C15" s="52" t="s">
        <v>1</v>
      </c>
      <c r="D15" s="52">
        <v>44458</v>
      </c>
      <c r="E15" s="52">
        <v>143.7</v>
      </c>
      <c r="F15" s="54">
        <v>6388.7</v>
      </c>
      <c r="G15" s="52">
        <v>45970</v>
      </c>
      <c r="H15" s="52">
        <v>143.7</v>
      </c>
      <c r="I15" s="54">
        <v>6605.9</v>
      </c>
      <c r="J15" s="52">
        <v>45970</v>
      </c>
      <c r="K15" s="52">
        <v>143.7</v>
      </c>
      <c r="L15" s="54">
        <v>6605.9</v>
      </c>
      <c r="M15" s="54">
        <f>J15-G15</f>
        <v>0</v>
      </c>
      <c r="N15" s="52"/>
      <c r="O15" s="54">
        <f>L15-I15</f>
        <v>0</v>
      </c>
    </row>
    <row r="16" spans="1:15" s="143" customFormat="1" ht="23.25" customHeight="1">
      <c r="A16" s="274">
        <v>2</v>
      </c>
      <c r="B16" s="288" t="s">
        <v>22</v>
      </c>
      <c r="C16" s="275">
        <v>4213</v>
      </c>
      <c r="D16" s="275"/>
      <c r="E16" s="275"/>
      <c r="F16" s="276">
        <f>SUM(F19:F21)</f>
        <v>315.3</v>
      </c>
      <c r="G16" s="275"/>
      <c r="H16" s="275"/>
      <c r="I16" s="276">
        <f>SUM(I19:I21)</f>
        <v>264</v>
      </c>
      <c r="J16" s="276"/>
      <c r="K16" s="275"/>
      <c r="L16" s="276">
        <f>SUM(L19:L21)</f>
        <v>264</v>
      </c>
      <c r="M16" s="276">
        <f>J16-G16</f>
        <v>0</v>
      </c>
      <c r="N16" s="275"/>
      <c r="O16" s="276">
        <f>L16-I16</f>
        <v>0</v>
      </c>
    </row>
    <row r="17" spans="1:15" s="36" customFormat="1" ht="13.5">
      <c r="A17" s="144"/>
      <c r="B17" s="277" t="s">
        <v>79</v>
      </c>
      <c r="C17" s="52"/>
      <c r="D17" s="52"/>
      <c r="E17" s="52"/>
      <c r="F17" s="54"/>
      <c r="G17" s="52"/>
      <c r="H17" s="52"/>
      <c r="I17" s="54"/>
      <c r="J17" s="54"/>
      <c r="K17" s="52"/>
      <c r="L17" s="67"/>
      <c r="M17" s="67"/>
      <c r="N17" s="52"/>
      <c r="O17" s="67"/>
    </row>
    <row r="18" spans="1:15" s="36" customFormat="1" ht="13.5">
      <c r="A18" s="286"/>
      <c r="B18" s="289" t="s">
        <v>221</v>
      </c>
      <c r="C18" s="52"/>
      <c r="D18" s="52"/>
      <c r="E18" s="52"/>
      <c r="F18" s="54"/>
      <c r="G18" s="52"/>
      <c r="H18" s="52"/>
      <c r="I18" s="54"/>
      <c r="J18" s="54"/>
      <c r="K18" s="52"/>
      <c r="L18" s="67"/>
      <c r="M18" s="67"/>
      <c r="N18" s="52"/>
      <c r="O18" s="67"/>
    </row>
    <row r="19" spans="1:15" s="36" customFormat="1" ht="13.5">
      <c r="A19" s="52">
        <v>1</v>
      </c>
      <c r="B19" s="289" t="s">
        <v>23</v>
      </c>
      <c r="C19" s="52" t="s">
        <v>1</v>
      </c>
      <c r="D19" s="52">
        <v>1482</v>
      </c>
      <c r="E19" s="52">
        <v>212.7</v>
      </c>
      <c r="F19" s="54">
        <v>315.3</v>
      </c>
      <c r="G19" s="52">
        <v>1241</v>
      </c>
      <c r="H19" s="52">
        <v>212.7</v>
      </c>
      <c r="I19" s="54">
        <v>264</v>
      </c>
      <c r="J19" s="54">
        <v>1241</v>
      </c>
      <c r="K19" s="52">
        <v>212.7</v>
      </c>
      <c r="L19" s="54">
        <v>264</v>
      </c>
      <c r="M19" s="54">
        <f>J19-G19</f>
        <v>0</v>
      </c>
      <c r="N19" s="52"/>
      <c r="O19" s="54">
        <f>L19-I19</f>
        <v>0</v>
      </c>
    </row>
    <row r="20" spans="1:15" s="36" customFormat="1" ht="13.5">
      <c r="A20" s="52">
        <v>2</v>
      </c>
      <c r="B20" s="289" t="s">
        <v>344</v>
      </c>
      <c r="C20" s="52" t="s">
        <v>1</v>
      </c>
      <c r="D20" s="52"/>
      <c r="E20" s="52"/>
      <c r="F20" s="54"/>
      <c r="G20" s="52"/>
      <c r="H20" s="52"/>
      <c r="I20" s="54"/>
      <c r="J20" s="54"/>
      <c r="K20" s="52"/>
      <c r="L20" s="54"/>
      <c r="M20" s="54">
        <f>J20-G20</f>
        <v>0</v>
      </c>
      <c r="N20" s="52"/>
      <c r="O20" s="54">
        <f>L20-I20</f>
        <v>0</v>
      </c>
    </row>
    <row r="21" spans="1:15" s="36" customFormat="1" ht="13.5">
      <c r="A21" s="52">
        <v>3</v>
      </c>
      <c r="B21" s="290"/>
      <c r="C21" s="52" t="s">
        <v>1</v>
      </c>
      <c r="D21" s="52"/>
      <c r="E21" s="52"/>
      <c r="F21" s="54"/>
      <c r="G21" s="52"/>
      <c r="H21" s="52"/>
      <c r="I21" s="54"/>
      <c r="J21" s="54"/>
      <c r="K21" s="52"/>
      <c r="L21" s="54"/>
      <c r="M21" s="54">
        <f>J21-G21</f>
        <v>0</v>
      </c>
      <c r="N21" s="52"/>
      <c r="O21" s="54">
        <f>L21-I21</f>
        <v>0</v>
      </c>
    </row>
    <row r="22" spans="1:15" s="143" customFormat="1" ht="23.25" customHeight="1">
      <c r="A22" s="274">
        <v>3</v>
      </c>
      <c r="B22" s="288" t="s">
        <v>24</v>
      </c>
      <c r="C22" s="275">
        <v>4214</v>
      </c>
      <c r="D22" s="275"/>
      <c r="E22" s="275"/>
      <c r="F22" s="276">
        <f>+F25</f>
        <v>3360</v>
      </c>
      <c r="G22" s="275"/>
      <c r="H22" s="275"/>
      <c r="I22" s="276">
        <f>+I25</f>
        <v>3360</v>
      </c>
      <c r="J22" s="276"/>
      <c r="K22" s="275"/>
      <c r="L22" s="276">
        <f>+L25</f>
        <v>3360</v>
      </c>
      <c r="M22" s="276">
        <f>J22-G22</f>
        <v>0</v>
      </c>
      <c r="N22" s="275"/>
      <c r="O22" s="276">
        <f>L22-I22</f>
        <v>0</v>
      </c>
    </row>
    <row r="23" spans="1:15" s="36" customFormat="1" ht="13.5">
      <c r="A23" s="144"/>
      <c r="B23" s="277" t="s">
        <v>79</v>
      </c>
      <c r="C23" s="52"/>
      <c r="D23" s="52"/>
      <c r="E23" s="52"/>
      <c r="F23" s="54"/>
      <c r="G23" s="52"/>
      <c r="H23" s="52"/>
      <c r="I23" s="54"/>
      <c r="J23" s="54"/>
      <c r="K23" s="52"/>
      <c r="L23" s="67"/>
      <c r="M23" s="67"/>
      <c r="N23" s="52"/>
      <c r="O23" s="67"/>
    </row>
    <row r="24" spans="1:15" s="36" customFormat="1" ht="13.5">
      <c r="A24" s="286"/>
      <c r="B24" s="289" t="s">
        <v>221</v>
      </c>
      <c r="C24" s="52"/>
      <c r="D24" s="52"/>
      <c r="E24" s="52"/>
      <c r="F24" s="54"/>
      <c r="G24" s="52"/>
      <c r="H24" s="52"/>
      <c r="I24" s="54"/>
      <c r="J24" s="54"/>
      <c r="K24" s="52"/>
      <c r="L24" s="67"/>
      <c r="M24" s="67"/>
      <c r="N24" s="52"/>
      <c r="O24" s="67"/>
    </row>
    <row r="25" spans="1:15" s="36" customFormat="1" ht="13.5">
      <c r="A25" s="52">
        <v>1</v>
      </c>
      <c r="B25" s="289" t="s">
        <v>345</v>
      </c>
      <c r="C25" s="52"/>
      <c r="D25" s="52"/>
      <c r="E25" s="52"/>
      <c r="F25" s="54">
        <f>+F26+F27+F28</f>
        <v>3360</v>
      </c>
      <c r="G25" s="52"/>
      <c r="H25" s="52"/>
      <c r="I25" s="54">
        <f>+I26+I27+I28</f>
        <v>3360</v>
      </c>
      <c r="J25" s="54"/>
      <c r="K25" s="52"/>
      <c r="L25" s="54">
        <f>+L26+L27+L28</f>
        <v>3360</v>
      </c>
      <c r="M25" s="67"/>
      <c r="N25" s="52"/>
      <c r="O25" s="67"/>
    </row>
    <row r="26" spans="1:15" s="36" customFormat="1" ht="13.5">
      <c r="A26" s="52">
        <v>2</v>
      </c>
      <c r="B26" s="289" t="s">
        <v>346</v>
      </c>
      <c r="C26" s="52"/>
      <c r="D26" s="52"/>
      <c r="E26" s="52"/>
      <c r="F26" s="54">
        <v>2416</v>
      </c>
      <c r="G26" s="52"/>
      <c r="H26" s="52"/>
      <c r="I26" s="54">
        <v>2416</v>
      </c>
      <c r="J26" s="54"/>
      <c r="K26" s="52"/>
      <c r="L26" s="54">
        <v>2416</v>
      </c>
      <c r="M26" s="67"/>
      <c r="N26" s="52"/>
      <c r="O26" s="67"/>
    </row>
    <row r="27" spans="1:15" s="36" customFormat="1" ht="13.5">
      <c r="A27" s="52">
        <v>3</v>
      </c>
      <c r="B27" s="289" t="s">
        <v>347</v>
      </c>
      <c r="C27" s="52"/>
      <c r="D27" s="52"/>
      <c r="E27" s="52"/>
      <c r="F27" s="54">
        <v>444</v>
      </c>
      <c r="G27" s="52"/>
      <c r="H27" s="52"/>
      <c r="I27" s="54">
        <v>444</v>
      </c>
      <c r="J27" s="54"/>
      <c r="K27" s="52"/>
      <c r="L27" s="54">
        <v>444</v>
      </c>
      <c r="M27" s="67"/>
      <c r="N27" s="52"/>
      <c r="O27" s="67"/>
    </row>
    <row r="28" spans="1:15" s="36" customFormat="1" ht="13.5">
      <c r="A28" s="52">
        <v>4</v>
      </c>
      <c r="B28" s="289" t="s">
        <v>348</v>
      </c>
      <c r="C28" s="52" t="s">
        <v>1</v>
      </c>
      <c r="D28" s="52"/>
      <c r="E28" s="52"/>
      <c r="F28" s="54">
        <v>500</v>
      </c>
      <c r="G28" s="52"/>
      <c r="H28" s="52"/>
      <c r="I28" s="54">
        <v>500</v>
      </c>
      <c r="J28" s="54"/>
      <c r="K28" s="52"/>
      <c r="L28" s="54">
        <v>500</v>
      </c>
      <c r="M28" s="54">
        <f>J28-G28</f>
        <v>0</v>
      </c>
      <c r="N28" s="52"/>
      <c r="O28" s="54">
        <f>L28-I28</f>
        <v>0</v>
      </c>
    </row>
    <row r="29" spans="1:15" s="36" customFormat="1" ht="13.5">
      <c r="A29" s="52">
        <v>5</v>
      </c>
      <c r="B29" s="289" t="s">
        <v>349</v>
      </c>
      <c r="C29" s="52" t="s">
        <v>1</v>
      </c>
      <c r="D29" s="52"/>
      <c r="E29" s="52"/>
      <c r="F29" s="54"/>
      <c r="G29" s="52"/>
      <c r="H29" s="52"/>
      <c r="I29" s="54"/>
      <c r="J29" s="54"/>
      <c r="K29" s="52"/>
      <c r="L29" s="54"/>
      <c r="M29" s="54">
        <f>J29-G29</f>
        <v>0</v>
      </c>
      <c r="N29" s="52"/>
      <c r="O29" s="54">
        <f>L29-I29</f>
        <v>0</v>
      </c>
    </row>
    <row r="30" spans="1:15" s="36" customFormat="1" ht="13.5">
      <c r="A30" s="52">
        <v>3</v>
      </c>
      <c r="B30" s="290"/>
      <c r="C30" s="52" t="s">
        <v>1</v>
      </c>
      <c r="D30" s="52"/>
      <c r="E30" s="52"/>
      <c r="F30" s="54"/>
      <c r="G30" s="52"/>
      <c r="H30" s="52"/>
      <c r="I30" s="54"/>
      <c r="J30" s="54"/>
      <c r="K30" s="52"/>
      <c r="L30" s="54"/>
      <c r="M30" s="54">
        <f>J30-G30</f>
        <v>0</v>
      </c>
      <c r="N30" s="52"/>
      <c r="O30" s="54">
        <f>L30-I30</f>
        <v>0</v>
      </c>
    </row>
    <row r="31" spans="1:15" s="143" customFormat="1" ht="23.25" customHeight="1">
      <c r="A31" s="274" t="s">
        <v>176</v>
      </c>
      <c r="B31" s="288" t="s">
        <v>25</v>
      </c>
      <c r="C31" s="275">
        <v>4215</v>
      </c>
      <c r="D31" s="275"/>
      <c r="E31" s="275"/>
      <c r="F31" s="276">
        <f>SUM(F34:F36)</f>
        <v>160</v>
      </c>
      <c r="G31" s="275"/>
      <c r="H31" s="275"/>
      <c r="I31" s="276">
        <f>SUM(I34:I36)</f>
        <v>160</v>
      </c>
      <c r="J31" s="276"/>
      <c r="K31" s="275"/>
      <c r="L31" s="276">
        <f>SUM(L34:L36)</f>
        <v>160</v>
      </c>
      <c r="M31" s="276">
        <f>J31-G31</f>
        <v>0</v>
      </c>
      <c r="N31" s="275"/>
      <c r="O31" s="276">
        <f>L31-I31</f>
        <v>0</v>
      </c>
    </row>
    <row r="32" spans="1:15" s="36" customFormat="1" ht="13.5">
      <c r="A32" s="144"/>
      <c r="B32" s="277" t="s">
        <v>79</v>
      </c>
      <c r="C32" s="52"/>
      <c r="D32" s="52"/>
      <c r="E32" s="52"/>
      <c r="F32" s="54"/>
      <c r="G32" s="52"/>
      <c r="H32" s="52"/>
      <c r="I32" s="54"/>
      <c r="J32" s="54"/>
      <c r="K32" s="52"/>
      <c r="L32" s="67"/>
      <c r="M32" s="67"/>
      <c r="N32" s="52"/>
      <c r="O32" s="67"/>
    </row>
    <row r="33" spans="1:15" s="36" customFormat="1" ht="13.5">
      <c r="A33" s="286"/>
      <c r="B33" s="289" t="s">
        <v>221</v>
      </c>
      <c r="C33" s="52"/>
      <c r="D33" s="52"/>
      <c r="E33" s="52"/>
      <c r="F33" s="54"/>
      <c r="G33" s="52"/>
      <c r="H33" s="52"/>
      <c r="I33" s="54"/>
      <c r="J33" s="54"/>
      <c r="K33" s="52"/>
      <c r="L33" s="67"/>
      <c r="M33" s="67"/>
      <c r="N33" s="52"/>
      <c r="O33" s="67"/>
    </row>
    <row r="34" spans="1:15" s="36" customFormat="1" ht="13.5">
      <c r="A34" s="52">
        <v>1</v>
      </c>
      <c r="B34" s="289" t="s">
        <v>25</v>
      </c>
      <c r="C34" s="52" t="s">
        <v>1</v>
      </c>
      <c r="D34" s="52">
        <v>4</v>
      </c>
      <c r="E34" s="52">
        <v>40</v>
      </c>
      <c r="F34" s="54">
        <v>160</v>
      </c>
      <c r="G34" s="52">
        <v>4</v>
      </c>
      <c r="H34" s="52">
        <v>40</v>
      </c>
      <c r="I34" s="54">
        <v>160</v>
      </c>
      <c r="J34" s="54">
        <v>4</v>
      </c>
      <c r="K34" s="52">
        <v>40</v>
      </c>
      <c r="L34" s="54">
        <v>160</v>
      </c>
      <c r="M34" s="54">
        <f>J34-G34</f>
        <v>0</v>
      </c>
      <c r="N34" s="52"/>
      <c r="O34" s="54">
        <f>L34-I34</f>
        <v>0</v>
      </c>
    </row>
    <row r="35" spans="1:15" s="36" customFormat="1" ht="13.5">
      <c r="A35" s="52">
        <v>2</v>
      </c>
      <c r="B35" s="290"/>
      <c r="C35" s="52" t="s">
        <v>1</v>
      </c>
      <c r="D35" s="52"/>
      <c r="E35" s="52"/>
      <c r="F35" s="54"/>
      <c r="G35" s="52"/>
      <c r="H35" s="52"/>
      <c r="I35" s="54"/>
      <c r="J35" s="54"/>
      <c r="K35" s="52"/>
      <c r="L35" s="54"/>
      <c r="M35" s="54">
        <f>J35-G35</f>
        <v>0</v>
      </c>
      <c r="N35" s="52"/>
      <c r="O35" s="54">
        <f>L35-I35</f>
        <v>0</v>
      </c>
    </row>
    <row r="36" spans="1:15" s="36" customFormat="1" ht="13.5">
      <c r="A36" s="52">
        <v>3</v>
      </c>
      <c r="B36" s="290"/>
      <c r="C36" s="52" t="s">
        <v>1</v>
      </c>
      <c r="D36" s="52"/>
      <c r="E36" s="52"/>
      <c r="F36" s="54"/>
      <c r="G36" s="52"/>
      <c r="H36" s="52"/>
      <c r="I36" s="54"/>
      <c r="J36" s="54"/>
      <c r="K36" s="52"/>
      <c r="L36" s="54"/>
      <c r="M36" s="54">
        <f>J36-G36</f>
        <v>0</v>
      </c>
      <c r="N36" s="52"/>
      <c r="O36" s="54">
        <f>L36-I36</f>
        <v>0</v>
      </c>
    </row>
    <row r="37" spans="1:15" s="143" customFormat="1" ht="23.25" customHeight="1">
      <c r="A37" s="274" t="s">
        <v>176</v>
      </c>
      <c r="B37" s="288" t="s">
        <v>26</v>
      </c>
      <c r="C37" s="275">
        <v>4216</v>
      </c>
      <c r="D37" s="275"/>
      <c r="E37" s="275"/>
      <c r="F37" s="276">
        <f>SUM(F40:F42)</f>
        <v>0</v>
      </c>
      <c r="G37" s="275"/>
      <c r="H37" s="275"/>
      <c r="I37" s="276">
        <f>SUM(I40:I42)</f>
        <v>0</v>
      </c>
      <c r="J37" s="276"/>
      <c r="K37" s="275"/>
      <c r="L37" s="276">
        <f>SUM(L40:L42)</f>
        <v>0</v>
      </c>
      <c r="M37" s="276">
        <f>J37-G37</f>
        <v>0</v>
      </c>
      <c r="N37" s="275"/>
      <c r="O37" s="276">
        <f>L37-I37</f>
        <v>0</v>
      </c>
    </row>
    <row r="38" spans="1:15" s="36" customFormat="1" ht="13.5">
      <c r="A38" s="144"/>
      <c r="B38" s="277" t="s">
        <v>79</v>
      </c>
      <c r="C38" s="52"/>
      <c r="D38" s="52"/>
      <c r="E38" s="52"/>
      <c r="F38" s="54"/>
      <c r="G38" s="52"/>
      <c r="H38" s="52"/>
      <c r="I38" s="54"/>
      <c r="J38" s="54"/>
      <c r="K38" s="52"/>
      <c r="L38" s="67"/>
      <c r="M38" s="67"/>
      <c r="N38" s="52"/>
      <c r="O38" s="67"/>
    </row>
    <row r="39" spans="1:15" s="36" customFormat="1" ht="13.5">
      <c r="A39" s="286"/>
      <c r="B39" s="289" t="s">
        <v>221</v>
      </c>
      <c r="C39" s="52"/>
      <c r="D39" s="52"/>
      <c r="E39" s="52"/>
      <c r="F39" s="54"/>
      <c r="G39" s="52"/>
      <c r="H39" s="52"/>
      <c r="I39" s="54"/>
      <c r="J39" s="54"/>
      <c r="K39" s="52"/>
      <c r="L39" s="67"/>
      <c r="M39" s="67"/>
      <c r="N39" s="52"/>
      <c r="O39" s="67"/>
    </row>
    <row r="40" spans="1:15" s="36" customFormat="1" ht="13.5">
      <c r="A40" s="52">
        <v>1</v>
      </c>
      <c r="B40" s="289" t="s">
        <v>26</v>
      </c>
      <c r="C40" s="52" t="s">
        <v>1</v>
      </c>
      <c r="D40" s="52"/>
      <c r="E40" s="52"/>
      <c r="F40" s="54"/>
      <c r="G40" s="52"/>
      <c r="H40" s="52"/>
      <c r="I40" s="54"/>
      <c r="J40" s="54"/>
      <c r="K40" s="52"/>
      <c r="L40" s="54"/>
      <c r="M40" s="54">
        <f>J40-G40</f>
        <v>0</v>
      </c>
      <c r="N40" s="52"/>
      <c r="O40" s="54">
        <f>L40-I40</f>
        <v>0</v>
      </c>
    </row>
    <row r="41" spans="1:15" s="36" customFormat="1" ht="13.5">
      <c r="A41" s="52">
        <v>2</v>
      </c>
      <c r="B41" s="290"/>
      <c r="C41" s="52" t="s">
        <v>1</v>
      </c>
      <c r="D41" s="52"/>
      <c r="E41" s="52"/>
      <c r="F41" s="54"/>
      <c r="G41" s="52"/>
      <c r="H41" s="52"/>
      <c r="I41" s="54"/>
      <c r="J41" s="54"/>
      <c r="K41" s="52"/>
      <c r="L41" s="54"/>
      <c r="M41" s="54">
        <f>J41-G41</f>
        <v>0</v>
      </c>
      <c r="N41" s="52"/>
      <c r="O41" s="54">
        <f>L41-I41</f>
        <v>0</v>
      </c>
    </row>
    <row r="42" spans="1:15" s="36" customFormat="1" ht="13.5">
      <c r="A42" s="52">
        <v>3</v>
      </c>
      <c r="B42" s="290"/>
      <c r="C42" s="52" t="s">
        <v>1</v>
      </c>
      <c r="D42" s="52"/>
      <c r="E42" s="52"/>
      <c r="F42" s="54"/>
      <c r="G42" s="52"/>
      <c r="H42" s="52"/>
      <c r="I42" s="54"/>
      <c r="J42" s="54"/>
      <c r="K42" s="52"/>
      <c r="L42" s="54"/>
      <c r="M42" s="54">
        <f>J42-G42</f>
        <v>0</v>
      </c>
      <c r="N42" s="52"/>
      <c r="O42" s="54">
        <f>L42-I42</f>
        <v>0</v>
      </c>
    </row>
    <row r="43" spans="1:15" s="143" customFormat="1" ht="23.25" customHeight="1">
      <c r="A43" s="274" t="s">
        <v>176</v>
      </c>
      <c r="B43" s="271" t="s">
        <v>222</v>
      </c>
      <c r="C43" s="275">
        <v>4217</v>
      </c>
      <c r="D43" s="275"/>
      <c r="E43" s="275"/>
      <c r="F43" s="276">
        <f>SUM(F46:F48)</f>
        <v>8456.699999999999</v>
      </c>
      <c r="G43" s="275"/>
      <c r="H43" s="275"/>
      <c r="I43" s="276">
        <f>SUM(I46:I48)</f>
        <v>8733.2</v>
      </c>
      <c r="J43" s="276"/>
      <c r="K43" s="275"/>
      <c r="L43" s="276">
        <f>SUM(L46:L48)</f>
        <v>8773</v>
      </c>
      <c r="M43" s="276">
        <f>J43-G43</f>
        <v>0</v>
      </c>
      <c r="N43" s="275"/>
      <c r="O43" s="276">
        <f>L43-I43</f>
        <v>39.79999999999927</v>
      </c>
    </row>
    <row r="44" spans="1:15" s="36" customFormat="1" ht="13.5">
      <c r="A44" s="144"/>
      <c r="B44" s="277" t="s">
        <v>79</v>
      </c>
      <c r="C44" s="52"/>
      <c r="D44" s="52"/>
      <c r="E44" s="52"/>
      <c r="F44" s="54"/>
      <c r="G44" s="52"/>
      <c r="H44" s="52"/>
      <c r="I44" s="54"/>
      <c r="J44" s="54"/>
      <c r="K44" s="52"/>
      <c r="L44" s="67"/>
      <c r="M44" s="67"/>
      <c r="N44" s="52"/>
      <c r="O44" s="67"/>
    </row>
    <row r="45" spans="1:15" s="36" customFormat="1" ht="13.5">
      <c r="A45" s="286"/>
      <c r="B45" s="289" t="s">
        <v>221</v>
      </c>
      <c r="C45" s="52"/>
      <c r="D45" s="52"/>
      <c r="E45" s="52"/>
      <c r="F45" s="54"/>
      <c r="G45" s="52"/>
      <c r="H45" s="52"/>
      <c r="I45" s="54"/>
      <c r="J45" s="54"/>
      <c r="K45" s="52"/>
      <c r="L45" s="67"/>
      <c r="M45" s="67"/>
      <c r="N45" s="52"/>
      <c r="O45" s="67"/>
    </row>
    <row r="46" spans="1:15" s="36" customFormat="1" ht="13.5">
      <c r="A46" s="52">
        <v>1</v>
      </c>
      <c r="B46" s="289" t="s">
        <v>350</v>
      </c>
      <c r="C46" s="52" t="s">
        <v>1</v>
      </c>
      <c r="D46" s="52"/>
      <c r="E46" s="52"/>
      <c r="F46" s="54">
        <v>8041.4</v>
      </c>
      <c r="G46" s="52"/>
      <c r="H46" s="52"/>
      <c r="I46" s="54">
        <v>7133.2</v>
      </c>
      <c r="J46" s="54"/>
      <c r="K46" s="52"/>
      <c r="L46" s="54">
        <v>7173</v>
      </c>
      <c r="M46" s="54">
        <f>J46-G46</f>
        <v>0</v>
      </c>
      <c r="N46" s="52"/>
      <c r="O46" s="54">
        <f>L46-I46</f>
        <v>39.80000000000018</v>
      </c>
    </row>
    <row r="47" spans="1:15" s="36" customFormat="1" ht="13.5">
      <c r="A47" s="52">
        <v>2</v>
      </c>
      <c r="B47" s="404" t="s">
        <v>29</v>
      </c>
      <c r="C47" s="52" t="s">
        <v>1</v>
      </c>
      <c r="D47" s="52"/>
      <c r="E47" s="52"/>
      <c r="F47" s="54">
        <v>415.3</v>
      </c>
      <c r="G47" s="52"/>
      <c r="H47" s="52"/>
      <c r="I47" s="54">
        <v>1600</v>
      </c>
      <c r="J47" s="54"/>
      <c r="K47" s="52"/>
      <c r="L47" s="54">
        <v>1600</v>
      </c>
      <c r="M47" s="54">
        <f>J47-G47</f>
        <v>0</v>
      </c>
      <c r="N47" s="52"/>
      <c r="O47" s="54">
        <f>L47-I47</f>
        <v>0</v>
      </c>
    </row>
    <row r="48" spans="1:15" s="36" customFormat="1" ht="13.5">
      <c r="A48" s="52">
        <v>3</v>
      </c>
      <c r="B48" s="290"/>
      <c r="C48" s="52" t="s">
        <v>1</v>
      </c>
      <c r="D48" s="52"/>
      <c r="E48" s="52"/>
      <c r="F48" s="54"/>
      <c r="G48" s="52"/>
      <c r="H48" s="52"/>
      <c r="I48" s="54"/>
      <c r="J48" s="54"/>
      <c r="K48" s="52"/>
      <c r="L48" s="54"/>
      <c r="M48" s="54">
        <f>J48-G48</f>
        <v>0</v>
      </c>
      <c r="N48" s="52"/>
      <c r="O48" s="54">
        <f>L48-I48</f>
        <v>0</v>
      </c>
    </row>
    <row r="49" spans="1:15" s="143" customFormat="1" ht="23.25" customHeight="1">
      <c r="A49" s="274" t="s">
        <v>176</v>
      </c>
      <c r="B49" s="288" t="s">
        <v>31</v>
      </c>
      <c r="C49" s="275">
        <v>4232</v>
      </c>
      <c r="D49" s="275"/>
      <c r="E49" s="275"/>
      <c r="F49" s="276">
        <f>SUM(F52:F57)</f>
        <v>3632</v>
      </c>
      <c r="G49" s="275"/>
      <c r="H49" s="275"/>
      <c r="I49" s="276">
        <f>SUM(I52:I57)</f>
        <v>3632</v>
      </c>
      <c r="J49" s="276"/>
      <c r="K49" s="275"/>
      <c r="L49" s="276">
        <f>SUM(L52:L57)</f>
        <v>3632</v>
      </c>
      <c r="M49" s="276">
        <f>J49-G49</f>
        <v>0</v>
      </c>
      <c r="N49" s="275"/>
      <c r="O49" s="276">
        <f>L49-I49</f>
        <v>0</v>
      </c>
    </row>
    <row r="50" spans="1:15" s="36" customFormat="1" ht="13.5">
      <c r="A50" s="144"/>
      <c r="B50" s="277" t="s">
        <v>79</v>
      </c>
      <c r="C50" s="52"/>
      <c r="D50" s="52"/>
      <c r="E50" s="52"/>
      <c r="F50" s="54"/>
      <c r="G50" s="52"/>
      <c r="H50" s="52"/>
      <c r="I50" s="54"/>
      <c r="J50" s="54"/>
      <c r="K50" s="52"/>
      <c r="L50" s="67"/>
      <c r="M50" s="67"/>
      <c r="N50" s="52"/>
      <c r="O50" s="67"/>
    </row>
    <row r="51" spans="1:15" s="36" customFormat="1" ht="13.5">
      <c r="A51" s="286"/>
      <c r="B51" s="289" t="s">
        <v>221</v>
      </c>
      <c r="C51" s="52"/>
      <c r="D51" s="52"/>
      <c r="E51" s="52"/>
      <c r="F51" s="54"/>
      <c r="G51" s="52"/>
      <c r="H51" s="52"/>
      <c r="I51" s="54"/>
      <c r="J51" s="54"/>
      <c r="K51" s="52"/>
      <c r="L51" s="67"/>
      <c r="M51" s="67"/>
      <c r="N51" s="52"/>
      <c r="O51" s="67"/>
    </row>
    <row r="52" spans="1:15" s="36" customFormat="1" ht="13.5">
      <c r="A52" s="52">
        <v>1</v>
      </c>
      <c r="B52" s="289" t="s">
        <v>351</v>
      </c>
      <c r="C52" s="52"/>
      <c r="D52" s="52"/>
      <c r="E52" s="52"/>
      <c r="F52" s="54">
        <v>72</v>
      </c>
      <c r="G52" s="52"/>
      <c r="H52" s="52"/>
      <c r="I52" s="54">
        <v>72</v>
      </c>
      <c r="J52" s="54"/>
      <c r="K52" s="52"/>
      <c r="L52" s="54">
        <v>72</v>
      </c>
      <c r="M52" s="67"/>
      <c r="N52" s="52"/>
      <c r="O52" s="67"/>
    </row>
    <row r="53" spans="1:15" s="36" customFormat="1" ht="13.5">
      <c r="A53" s="52">
        <v>2</v>
      </c>
      <c r="B53" s="289" t="s">
        <v>352</v>
      </c>
      <c r="C53" s="52"/>
      <c r="D53" s="52"/>
      <c r="E53" s="52"/>
      <c r="F53" s="54">
        <v>175</v>
      </c>
      <c r="G53" s="52"/>
      <c r="H53" s="52"/>
      <c r="I53" s="54">
        <v>175</v>
      </c>
      <c r="J53" s="54"/>
      <c r="K53" s="52"/>
      <c r="L53" s="54">
        <v>175</v>
      </c>
      <c r="M53" s="67"/>
      <c r="N53" s="52"/>
      <c r="O53" s="67"/>
    </row>
    <row r="54" spans="1:15" s="36" customFormat="1" ht="13.5">
      <c r="A54" s="52">
        <v>3</v>
      </c>
      <c r="B54" s="289" t="s">
        <v>352</v>
      </c>
      <c r="C54" s="52"/>
      <c r="D54" s="52"/>
      <c r="E54" s="52"/>
      <c r="F54" s="54">
        <v>2880</v>
      </c>
      <c r="G54" s="52"/>
      <c r="H54" s="52"/>
      <c r="I54" s="54">
        <v>2880</v>
      </c>
      <c r="J54" s="54"/>
      <c r="K54" s="52"/>
      <c r="L54" s="54">
        <v>2880</v>
      </c>
      <c r="M54" s="67"/>
      <c r="N54" s="52"/>
      <c r="O54" s="67"/>
    </row>
    <row r="55" spans="1:15" s="36" customFormat="1" ht="13.5">
      <c r="A55" s="52">
        <v>4</v>
      </c>
      <c r="B55" s="289" t="s">
        <v>352</v>
      </c>
      <c r="C55" s="52" t="s">
        <v>1</v>
      </c>
      <c r="D55" s="52"/>
      <c r="E55" s="52"/>
      <c r="F55" s="54">
        <v>105</v>
      </c>
      <c r="G55" s="52"/>
      <c r="H55" s="52"/>
      <c r="I55" s="54">
        <v>105</v>
      </c>
      <c r="J55" s="54"/>
      <c r="K55" s="52"/>
      <c r="L55" s="54">
        <v>105</v>
      </c>
      <c r="M55" s="54">
        <f>J55-G55</f>
        <v>0</v>
      </c>
      <c r="N55" s="52"/>
      <c r="O55" s="54">
        <f>L55-I55</f>
        <v>0</v>
      </c>
    </row>
    <row r="56" spans="1:15" s="36" customFormat="1" ht="13.5">
      <c r="A56" s="52">
        <v>5</v>
      </c>
      <c r="B56" s="289" t="s">
        <v>352</v>
      </c>
      <c r="C56" s="52" t="s">
        <v>1</v>
      </c>
      <c r="D56" s="52"/>
      <c r="E56" s="52"/>
      <c r="F56" s="54">
        <v>400</v>
      </c>
      <c r="G56" s="52"/>
      <c r="H56" s="52"/>
      <c r="I56" s="54">
        <v>400</v>
      </c>
      <c r="J56" s="54"/>
      <c r="K56" s="52"/>
      <c r="L56" s="54">
        <v>400</v>
      </c>
      <c r="M56" s="54">
        <f>J56-G56</f>
        <v>0</v>
      </c>
      <c r="N56" s="52"/>
      <c r="O56" s="54">
        <f>L56-I56</f>
        <v>0</v>
      </c>
    </row>
    <row r="57" spans="1:15" s="36" customFormat="1" ht="13.5">
      <c r="A57" s="52">
        <v>6</v>
      </c>
      <c r="B57" s="289" t="s">
        <v>353</v>
      </c>
      <c r="C57" s="52" t="s">
        <v>1</v>
      </c>
      <c r="D57" s="52"/>
      <c r="E57" s="52"/>
      <c r="F57" s="54"/>
      <c r="G57" s="52"/>
      <c r="H57" s="52"/>
      <c r="I57" s="54"/>
      <c r="J57" s="54"/>
      <c r="K57" s="52"/>
      <c r="L57" s="54"/>
      <c r="M57" s="54">
        <f>J57-G57</f>
        <v>0</v>
      </c>
      <c r="N57" s="52"/>
      <c r="O57" s="54">
        <f>L57-I57</f>
        <v>0</v>
      </c>
    </row>
    <row r="58" spans="1:15" s="143" customFormat="1" ht="23.25" customHeight="1">
      <c r="A58" s="274" t="s">
        <v>176</v>
      </c>
      <c r="B58" s="288" t="s">
        <v>32</v>
      </c>
      <c r="C58" s="275">
        <v>4234</v>
      </c>
      <c r="D58" s="275"/>
      <c r="E58" s="275"/>
      <c r="F58" s="276">
        <f>SUM(F61:F63)</f>
        <v>200</v>
      </c>
      <c r="G58" s="275"/>
      <c r="H58" s="275"/>
      <c r="I58" s="276">
        <f>SUM(I61:I63)</f>
        <v>200</v>
      </c>
      <c r="J58" s="276"/>
      <c r="K58" s="275"/>
      <c r="L58" s="276">
        <f>SUM(L61:L63)</f>
        <v>200</v>
      </c>
      <c r="M58" s="276">
        <f>J58-G58</f>
        <v>0</v>
      </c>
      <c r="N58" s="275"/>
      <c r="O58" s="276">
        <f>L58-I58</f>
        <v>0</v>
      </c>
    </row>
    <row r="59" spans="1:15" s="36" customFormat="1" ht="13.5">
      <c r="A59" s="144"/>
      <c r="B59" s="277" t="s">
        <v>79</v>
      </c>
      <c r="C59" s="52"/>
      <c r="D59" s="52"/>
      <c r="E59" s="52"/>
      <c r="F59" s="54"/>
      <c r="G59" s="52"/>
      <c r="H59" s="52"/>
      <c r="I59" s="54"/>
      <c r="J59" s="54"/>
      <c r="K59" s="52"/>
      <c r="L59" s="67"/>
      <c r="M59" s="67"/>
      <c r="N59" s="52"/>
      <c r="O59" s="67"/>
    </row>
    <row r="60" spans="1:15" s="36" customFormat="1" ht="13.5">
      <c r="A60" s="286"/>
      <c r="B60" s="289" t="s">
        <v>221</v>
      </c>
      <c r="C60" s="52"/>
      <c r="D60" s="52"/>
      <c r="E60" s="52"/>
      <c r="F60" s="54"/>
      <c r="G60" s="52"/>
      <c r="H60" s="52"/>
      <c r="I60" s="54"/>
      <c r="J60" s="54"/>
      <c r="K60" s="52"/>
      <c r="L60" s="67"/>
      <c r="M60" s="67"/>
      <c r="N60" s="52"/>
      <c r="O60" s="67"/>
    </row>
    <row r="61" spans="1:15" s="36" customFormat="1" ht="13.5">
      <c r="A61" s="52">
        <v>1</v>
      </c>
      <c r="B61" s="289" t="s">
        <v>354</v>
      </c>
      <c r="C61" s="52" t="s">
        <v>1</v>
      </c>
      <c r="D61" s="52">
        <v>1</v>
      </c>
      <c r="E61" s="52"/>
      <c r="F61" s="54">
        <v>200</v>
      </c>
      <c r="G61" s="52">
        <v>1</v>
      </c>
      <c r="H61" s="52"/>
      <c r="I61" s="54">
        <v>200</v>
      </c>
      <c r="J61" s="54">
        <v>1</v>
      </c>
      <c r="K61" s="52"/>
      <c r="L61" s="54">
        <v>200</v>
      </c>
      <c r="M61" s="54">
        <f>J61-G61</f>
        <v>0</v>
      </c>
      <c r="N61" s="52"/>
      <c r="O61" s="54">
        <f>L61-I61</f>
        <v>0</v>
      </c>
    </row>
    <row r="62" spans="1:15" s="36" customFormat="1" ht="13.5">
      <c r="A62" s="52">
        <v>2</v>
      </c>
      <c r="B62" s="289" t="s">
        <v>355</v>
      </c>
      <c r="C62" s="52" t="s">
        <v>1</v>
      </c>
      <c r="D62" s="52"/>
      <c r="E62" s="52"/>
      <c r="F62" s="54"/>
      <c r="G62" s="52"/>
      <c r="H62" s="52"/>
      <c r="I62" s="54"/>
      <c r="J62" s="54"/>
      <c r="K62" s="52"/>
      <c r="L62" s="54"/>
      <c r="M62" s="54">
        <f>J62-G62</f>
        <v>0</v>
      </c>
      <c r="N62" s="52"/>
      <c r="O62" s="54">
        <f>L62-I62</f>
        <v>0</v>
      </c>
    </row>
    <row r="63" spans="1:15" s="36" customFormat="1" ht="13.5">
      <c r="A63" s="52">
        <v>3</v>
      </c>
      <c r="B63" s="289" t="s">
        <v>356</v>
      </c>
      <c r="C63" s="52" t="s">
        <v>1</v>
      </c>
      <c r="D63" s="52"/>
      <c r="E63" s="52"/>
      <c r="F63" s="54"/>
      <c r="G63" s="52"/>
      <c r="H63" s="52"/>
      <c r="I63" s="54"/>
      <c r="J63" s="54"/>
      <c r="K63" s="52"/>
      <c r="L63" s="54"/>
      <c r="M63" s="54">
        <f>J63-G63</f>
        <v>0</v>
      </c>
      <c r="N63" s="52"/>
      <c r="O63" s="54">
        <f>L63-I63</f>
        <v>0</v>
      </c>
    </row>
    <row r="64" spans="1:15" s="143" customFormat="1" ht="23.25" customHeight="1">
      <c r="A64" s="274" t="s">
        <v>176</v>
      </c>
      <c r="B64" s="405" t="s">
        <v>33</v>
      </c>
      <c r="C64" s="275">
        <v>4235</v>
      </c>
      <c r="D64" s="275"/>
      <c r="E64" s="275"/>
      <c r="F64" s="276">
        <f>SUM(F66:F68)</f>
        <v>14000</v>
      </c>
      <c r="G64" s="275"/>
      <c r="H64" s="275"/>
      <c r="I64" s="276">
        <f>SUM(I66:I68)</f>
        <v>12500</v>
      </c>
      <c r="J64" s="276"/>
      <c r="K64" s="275"/>
      <c r="L64" s="276">
        <f>SUM(L66:L68)</f>
        <v>12500</v>
      </c>
      <c r="M64" s="276">
        <f>J64-G64</f>
        <v>0</v>
      </c>
      <c r="N64" s="275"/>
      <c r="O64" s="276">
        <f>L64-I64</f>
        <v>0</v>
      </c>
    </row>
    <row r="65" spans="1:15" s="36" customFormat="1" ht="13.5">
      <c r="A65" s="144"/>
      <c r="C65" s="52"/>
      <c r="D65" s="52"/>
      <c r="E65" s="52"/>
      <c r="F65" s="54"/>
      <c r="G65" s="52"/>
      <c r="H65" s="52"/>
      <c r="I65" s="54"/>
      <c r="J65" s="54"/>
      <c r="K65" s="52"/>
      <c r="L65" s="67"/>
      <c r="M65" s="67"/>
      <c r="N65" s="52"/>
      <c r="O65" s="67"/>
    </row>
    <row r="66" spans="1:15" s="36" customFormat="1" ht="13.5">
      <c r="A66" s="52">
        <v>1</v>
      </c>
      <c r="B66" s="277" t="s">
        <v>357</v>
      </c>
      <c r="C66" s="52" t="s">
        <v>1</v>
      </c>
      <c r="D66" s="52">
        <v>1</v>
      </c>
      <c r="E66" s="52"/>
      <c r="F66" s="54">
        <v>14000</v>
      </c>
      <c r="G66" s="52">
        <v>1</v>
      </c>
      <c r="H66" s="52"/>
      <c r="I66" s="54">
        <v>12500</v>
      </c>
      <c r="J66" s="54">
        <v>1</v>
      </c>
      <c r="K66" s="52"/>
      <c r="L66" s="54">
        <v>12500</v>
      </c>
      <c r="M66" s="54">
        <f>J66-G66</f>
        <v>0</v>
      </c>
      <c r="N66" s="52"/>
      <c r="O66" s="54">
        <f>L66-I66</f>
        <v>0</v>
      </c>
    </row>
    <row r="68" spans="1:11" ht="26.25" customHeight="1">
      <c r="A68" s="570" t="s">
        <v>6</v>
      </c>
      <c r="B68" s="705" t="s">
        <v>617</v>
      </c>
      <c r="C68" s="705"/>
      <c r="D68" s="705"/>
      <c r="E68" s="705"/>
      <c r="F68" s="705"/>
      <c r="G68" s="705"/>
      <c r="H68" s="705"/>
      <c r="I68" s="705"/>
      <c r="J68" s="571"/>
      <c r="K68" s="571"/>
    </row>
  </sheetData>
  <sheetProtection/>
  <mergeCells count="6">
    <mergeCell ref="B68:I68"/>
    <mergeCell ref="L2:O2"/>
    <mergeCell ref="D7:F7"/>
    <mergeCell ref="G7:I7"/>
    <mergeCell ref="J7:L7"/>
    <mergeCell ref="M7:O7"/>
  </mergeCells>
  <printOptions/>
  <pageMargins left="0.75" right="0.25" top="0.23" bottom="0.29" header="0.21" footer="0.19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5"/>
  <sheetViews>
    <sheetView zoomScalePageLayoutView="0" workbookViewId="0" topLeftCell="A35">
      <selection activeCell="H45" sqref="H45"/>
    </sheetView>
  </sheetViews>
  <sheetFormatPr defaultColWidth="9.140625" defaultRowHeight="12.75"/>
  <cols>
    <col min="1" max="1" width="6.28125" style="4" customWidth="1"/>
    <col min="2" max="2" width="4.28125" style="3" customWidth="1"/>
    <col min="3" max="3" width="47.421875" style="60" customWidth="1"/>
    <col min="4" max="4" width="11.140625" style="57" customWidth="1"/>
    <col min="5" max="5" width="18.7109375" style="57" customWidth="1"/>
    <col min="6" max="6" width="20.00390625" style="57" customWidth="1"/>
    <col min="7" max="7" width="17.57421875" style="57" customWidth="1"/>
    <col min="8" max="8" width="20.00390625" style="57" customWidth="1"/>
    <col min="9" max="9" width="15.7109375" style="3" customWidth="1"/>
    <col min="10" max="10" width="16.140625" style="4" customWidth="1"/>
    <col min="11" max="11" width="13.421875" style="4" customWidth="1"/>
    <col min="12" max="12" width="14.00390625" style="3" customWidth="1"/>
    <col min="13" max="13" width="17.7109375" style="3" customWidth="1"/>
    <col min="14" max="14" width="14.00390625" style="4" bestFit="1" customWidth="1"/>
    <col min="15" max="16384" width="9.140625" style="4" customWidth="1"/>
  </cols>
  <sheetData>
    <row r="1" spans="2:11" s="28" customFormat="1" ht="12.75">
      <c r="B1" s="202"/>
      <c r="C1" s="573"/>
      <c r="D1" s="185"/>
      <c r="E1" s="185"/>
      <c r="F1" s="185"/>
      <c r="G1" s="185"/>
      <c r="J1" s="40"/>
      <c r="K1" s="40"/>
    </row>
    <row r="2" spans="2:11" s="215" customFormat="1" ht="15.75">
      <c r="B2" s="214"/>
      <c r="C2" s="574"/>
      <c r="D2" s="1"/>
      <c r="E2" s="1"/>
      <c r="F2" s="1"/>
      <c r="G2" s="1"/>
      <c r="H2" s="563" t="s">
        <v>618</v>
      </c>
      <c r="J2" s="40"/>
      <c r="K2" s="40"/>
    </row>
    <row r="3" spans="2:11" s="215" customFormat="1" ht="18" customHeight="1" thickBot="1">
      <c r="B3" s="28"/>
      <c r="C3" s="19" t="s">
        <v>10</v>
      </c>
      <c r="D3" s="222"/>
      <c r="E3" s="6"/>
      <c r="F3" s="487"/>
      <c r="G3" s="6"/>
      <c r="H3" s="364" t="s">
        <v>9</v>
      </c>
      <c r="I3" s="364"/>
      <c r="J3" s="40"/>
      <c r="K3" s="40"/>
    </row>
    <row r="4" spans="2:13" s="40" customFormat="1" ht="31.5" customHeight="1">
      <c r="B4" s="715" t="s">
        <v>59</v>
      </c>
      <c r="C4" s="715"/>
      <c r="D4" s="715"/>
      <c r="E4" s="715"/>
      <c r="F4" s="715"/>
      <c r="G4" s="715"/>
      <c r="H4" s="715"/>
      <c r="L4" s="37"/>
      <c r="M4" s="37"/>
    </row>
    <row r="5" spans="2:13" s="40" customFormat="1" ht="16.5" customHeight="1">
      <c r="B5" s="716" t="s">
        <v>619</v>
      </c>
      <c r="C5" s="716"/>
      <c r="D5" s="716"/>
      <c r="E5" s="716"/>
      <c r="F5" s="716"/>
      <c r="G5" s="716"/>
      <c r="H5" s="716"/>
      <c r="L5" s="37"/>
      <c r="M5" s="37"/>
    </row>
    <row r="6" spans="2:13" s="40" customFormat="1" ht="59.25" customHeight="1">
      <c r="B6" s="575"/>
      <c r="C6" s="576" t="s">
        <v>620</v>
      </c>
      <c r="D6" s="576"/>
      <c r="E6" s="576"/>
      <c r="F6" s="576"/>
      <c r="G6" s="576"/>
      <c r="H6" s="576"/>
      <c r="L6" s="37"/>
      <c r="M6" s="37"/>
    </row>
    <row r="7" spans="2:13" s="12" customFormat="1" ht="12">
      <c r="B7" s="37"/>
      <c r="C7" s="39"/>
      <c r="D7" s="39"/>
      <c r="E7" s="39"/>
      <c r="F7" s="39"/>
      <c r="G7" s="39"/>
      <c r="H7" s="39"/>
      <c r="I7" s="40"/>
      <c r="J7" s="40"/>
      <c r="K7" s="40"/>
      <c r="L7" s="37"/>
      <c r="M7" s="37"/>
    </row>
    <row r="8" spans="2:13" ht="12.75">
      <c r="B8" s="577"/>
      <c r="C8" s="578"/>
      <c r="D8" s="578"/>
      <c r="E8" s="579"/>
      <c r="F8" s="579"/>
      <c r="G8" s="579"/>
      <c r="H8" s="580"/>
      <c r="I8" s="4"/>
      <c r="L8" s="4"/>
      <c r="M8" s="4"/>
    </row>
    <row r="9" spans="2:13" ht="34.5" customHeight="1">
      <c r="B9" s="581"/>
      <c r="C9" s="582" t="s">
        <v>621</v>
      </c>
      <c r="D9" s="583"/>
      <c r="E9" s="584"/>
      <c r="F9" s="585"/>
      <c r="G9" s="585"/>
      <c r="H9" s="586"/>
      <c r="I9" s="4"/>
      <c r="L9" s="4"/>
      <c r="M9" s="4"/>
    </row>
    <row r="10" spans="2:13" ht="34.5" customHeight="1">
      <c r="B10" s="47"/>
      <c r="C10" s="587" t="s">
        <v>622</v>
      </c>
      <c r="D10" s="588"/>
      <c r="E10" s="589"/>
      <c r="F10" s="590"/>
      <c r="G10" s="590"/>
      <c r="H10" s="591"/>
      <c r="I10" s="4"/>
      <c r="L10" s="4"/>
      <c r="M10" s="4"/>
    </row>
    <row r="11" spans="2:13" ht="34.5" customHeight="1">
      <c r="B11" s="717" t="s">
        <v>300</v>
      </c>
      <c r="C11" s="719" t="s">
        <v>623</v>
      </c>
      <c r="D11" s="592"/>
      <c r="E11" s="721" t="s">
        <v>624</v>
      </c>
      <c r="F11" s="722"/>
      <c r="G11" s="722"/>
      <c r="H11" s="723"/>
      <c r="I11" s="4"/>
      <c r="L11" s="4"/>
      <c r="M11" s="4"/>
    </row>
    <row r="12" spans="2:13" ht="60">
      <c r="B12" s="718"/>
      <c r="C12" s="720"/>
      <c r="D12" s="593" t="s">
        <v>625</v>
      </c>
      <c r="E12" s="594" t="s">
        <v>626</v>
      </c>
      <c r="F12" s="594" t="s">
        <v>627</v>
      </c>
      <c r="G12" s="594" t="s">
        <v>628</v>
      </c>
      <c r="H12" s="595" t="s">
        <v>629</v>
      </c>
      <c r="I12" s="4"/>
      <c r="L12" s="4"/>
      <c r="M12" s="4"/>
    </row>
    <row r="13" spans="2:13" ht="21.75" customHeight="1">
      <c r="B13" s="47">
        <v>1</v>
      </c>
      <c r="C13" s="48" t="s">
        <v>259</v>
      </c>
      <c r="D13" s="10">
        <v>1</v>
      </c>
      <c r="E13" s="596">
        <v>20000</v>
      </c>
      <c r="F13" s="596">
        <v>10000</v>
      </c>
      <c r="G13" s="597">
        <f>+(F13+E13)*D13*12</f>
        <v>360000</v>
      </c>
      <c r="H13" s="596">
        <f>+G13*1.2</f>
        <v>432000</v>
      </c>
      <c r="I13" s="4"/>
      <c r="L13" s="4"/>
      <c r="M13" s="4"/>
    </row>
    <row r="14" spans="2:13" ht="24">
      <c r="B14" s="47">
        <v>2</v>
      </c>
      <c r="C14" s="48" t="s">
        <v>630</v>
      </c>
      <c r="D14" s="10">
        <v>2</v>
      </c>
      <c r="E14" s="596">
        <v>5000</v>
      </c>
      <c r="F14" s="596">
        <v>5000</v>
      </c>
      <c r="G14" s="597">
        <f aca="true" t="shared" si="0" ref="G14:G27">+(F14+E14)*D14*12</f>
        <v>240000</v>
      </c>
      <c r="H14" s="596">
        <f aca="true" t="shared" si="1" ref="H14:H27">+G14*1.2</f>
        <v>288000</v>
      </c>
      <c r="I14" s="4"/>
      <c r="L14" s="4"/>
      <c r="M14" s="4"/>
    </row>
    <row r="15" spans="2:13" ht="12.75">
      <c r="B15" s="47">
        <v>3</v>
      </c>
      <c r="C15" s="48" t="s">
        <v>61</v>
      </c>
      <c r="D15" s="10">
        <v>3</v>
      </c>
      <c r="E15" s="596">
        <v>2000</v>
      </c>
      <c r="F15" s="596"/>
      <c r="G15" s="597">
        <f t="shared" si="0"/>
        <v>72000</v>
      </c>
      <c r="H15" s="596">
        <f t="shared" si="1"/>
        <v>86400</v>
      </c>
      <c r="I15" s="4"/>
      <c r="L15" s="4"/>
      <c r="M15" s="4"/>
    </row>
    <row r="16" spans="2:13" ht="12.75">
      <c r="B16" s="47">
        <v>4</v>
      </c>
      <c r="C16" s="48" t="s">
        <v>62</v>
      </c>
      <c r="D16" s="10">
        <v>3</v>
      </c>
      <c r="E16" s="596">
        <v>2000</v>
      </c>
      <c r="F16" s="596"/>
      <c r="G16" s="597">
        <f t="shared" si="0"/>
        <v>72000</v>
      </c>
      <c r="H16" s="596">
        <f t="shared" si="1"/>
        <v>86400</v>
      </c>
      <c r="I16" s="4"/>
      <c r="L16" s="4"/>
      <c r="M16" s="4"/>
    </row>
    <row r="17" spans="2:13" ht="12.75">
      <c r="B17" s="47">
        <v>5</v>
      </c>
      <c r="C17" s="48" t="s">
        <v>631</v>
      </c>
      <c r="D17" s="10"/>
      <c r="E17" s="596">
        <v>2000</v>
      </c>
      <c r="F17" s="596"/>
      <c r="G17" s="597">
        <f t="shared" si="0"/>
        <v>0</v>
      </c>
      <c r="H17" s="596">
        <f t="shared" si="1"/>
        <v>0</v>
      </c>
      <c r="I17" s="4"/>
      <c r="L17" s="4"/>
      <c r="M17" s="4"/>
    </row>
    <row r="18" spans="2:13" ht="24">
      <c r="B18" s="47">
        <v>6</v>
      </c>
      <c r="C18" s="48" t="s">
        <v>632</v>
      </c>
      <c r="D18" s="10">
        <v>1</v>
      </c>
      <c r="E18" s="596">
        <v>5000</v>
      </c>
      <c r="F18" s="596">
        <v>5000</v>
      </c>
      <c r="G18" s="597">
        <f t="shared" si="0"/>
        <v>120000</v>
      </c>
      <c r="H18" s="596">
        <f t="shared" si="1"/>
        <v>144000</v>
      </c>
      <c r="I18" s="4"/>
      <c r="L18" s="4"/>
      <c r="M18" s="4"/>
    </row>
    <row r="19" spans="2:13" ht="24">
      <c r="B19" s="47">
        <v>7</v>
      </c>
      <c r="C19" s="48" t="s">
        <v>633</v>
      </c>
      <c r="D19" s="10"/>
      <c r="E19" s="596">
        <v>2000</v>
      </c>
      <c r="F19" s="596"/>
      <c r="G19" s="597">
        <f t="shared" si="0"/>
        <v>0</v>
      </c>
      <c r="H19" s="596">
        <f t="shared" si="1"/>
        <v>0</v>
      </c>
      <c r="I19" s="4"/>
      <c r="L19" s="4"/>
      <c r="M19" s="4"/>
    </row>
    <row r="20" spans="2:13" ht="12.75">
      <c r="B20" s="47">
        <v>8</v>
      </c>
      <c r="C20" s="48" t="s">
        <v>634</v>
      </c>
      <c r="D20" s="10"/>
      <c r="E20" s="596">
        <v>3000</v>
      </c>
      <c r="F20" s="596">
        <v>2000</v>
      </c>
      <c r="G20" s="597">
        <f t="shared" si="0"/>
        <v>0</v>
      </c>
      <c r="H20" s="596">
        <f t="shared" si="1"/>
        <v>0</v>
      </c>
      <c r="I20" s="4"/>
      <c r="L20" s="4"/>
      <c r="M20" s="4"/>
    </row>
    <row r="21" spans="2:13" ht="24">
      <c r="B21" s="47">
        <v>9</v>
      </c>
      <c r="C21" s="48" t="s">
        <v>635</v>
      </c>
      <c r="D21" s="10"/>
      <c r="E21" s="596">
        <v>3000</v>
      </c>
      <c r="F21" s="596"/>
      <c r="G21" s="597">
        <f t="shared" si="0"/>
        <v>0</v>
      </c>
      <c r="H21" s="596">
        <f t="shared" si="1"/>
        <v>0</v>
      </c>
      <c r="I21" s="4"/>
      <c r="L21" s="4"/>
      <c r="M21" s="4"/>
    </row>
    <row r="22" spans="2:13" ht="24" customHeight="1">
      <c r="B22" s="47">
        <v>10</v>
      </c>
      <c r="C22" s="48" t="s">
        <v>636</v>
      </c>
      <c r="D22" s="10"/>
      <c r="E22" s="596">
        <v>3000</v>
      </c>
      <c r="F22" s="596"/>
      <c r="G22" s="597">
        <f t="shared" si="0"/>
        <v>0</v>
      </c>
      <c r="H22" s="596">
        <f t="shared" si="1"/>
        <v>0</v>
      </c>
      <c r="I22" s="4"/>
      <c r="L22" s="4"/>
      <c r="M22" s="4"/>
    </row>
    <row r="23" spans="2:13" ht="32.25" customHeight="1">
      <c r="B23" s="47">
        <v>11</v>
      </c>
      <c r="C23" s="48" t="s">
        <v>637</v>
      </c>
      <c r="D23" s="10"/>
      <c r="E23" s="596">
        <v>3000</v>
      </c>
      <c r="F23" s="596"/>
      <c r="G23" s="597">
        <f t="shared" si="0"/>
        <v>0</v>
      </c>
      <c r="H23" s="596">
        <f t="shared" si="1"/>
        <v>0</v>
      </c>
      <c r="I23" s="4"/>
      <c r="L23" s="4"/>
      <c r="M23" s="4"/>
    </row>
    <row r="24" spans="2:13" ht="48">
      <c r="B24" s="47">
        <v>12</v>
      </c>
      <c r="C24" s="598" t="s">
        <v>638</v>
      </c>
      <c r="D24" s="599">
        <f>+D25+D26+D27</f>
        <v>10</v>
      </c>
      <c r="E24" s="596">
        <v>5000</v>
      </c>
      <c r="F24" s="596"/>
      <c r="G24" s="597">
        <f t="shared" si="0"/>
        <v>600000</v>
      </c>
      <c r="H24" s="596">
        <f t="shared" si="1"/>
        <v>720000</v>
      </c>
      <c r="I24" s="4"/>
      <c r="L24" s="4"/>
      <c r="M24" s="4"/>
    </row>
    <row r="25" spans="2:13" ht="48">
      <c r="B25" s="47">
        <v>13</v>
      </c>
      <c r="C25" s="600" t="s">
        <v>639</v>
      </c>
      <c r="D25" s="10">
        <v>9</v>
      </c>
      <c r="E25" s="596">
        <v>3000</v>
      </c>
      <c r="F25" s="596"/>
      <c r="G25" s="597">
        <f t="shared" si="0"/>
        <v>324000</v>
      </c>
      <c r="H25" s="596">
        <f t="shared" si="1"/>
        <v>388800</v>
      </c>
      <c r="I25" s="4"/>
      <c r="L25" s="4"/>
      <c r="M25" s="4"/>
    </row>
    <row r="26" spans="2:13" ht="36">
      <c r="B26" s="47">
        <v>14</v>
      </c>
      <c r="C26" s="48" t="s">
        <v>640</v>
      </c>
      <c r="D26" s="10">
        <v>0</v>
      </c>
      <c r="E26" s="596">
        <v>5000</v>
      </c>
      <c r="F26" s="596">
        <v>5000</v>
      </c>
      <c r="G26" s="597">
        <f t="shared" si="0"/>
        <v>0</v>
      </c>
      <c r="H26" s="596">
        <f t="shared" si="1"/>
        <v>0</v>
      </c>
      <c r="I26" s="4"/>
      <c r="L26" s="4"/>
      <c r="M26" s="4"/>
    </row>
    <row r="27" spans="2:13" ht="24">
      <c r="B27" s="47">
        <v>15</v>
      </c>
      <c r="C27" s="48" t="s">
        <v>641</v>
      </c>
      <c r="D27" s="10">
        <v>1</v>
      </c>
      <c r="E27" s="596">
        <v>5000</v>
      </c>
      <c r="F27" s="596"/>
      <c r="G27" s="597">
        <f t="shared" si="0"/>
        <v>60000</v>
      </c>
      <c r="H27" s="596">
        <f t="shared" si="1"/>
        <v>72000</v>
      </c>
      <c r="I27" s="4"/>
      <c r="L27" s="4"/>
      <c r="M27" s="4"/>
    </row>
    <row r="28" spans="2:13" ht="42.75">
      <c r="B28" s="601"/>
      <c r="C28" s="602" t="s">
        <v>642</v>
      </c>
      <c r="D28" s="603" t="s">
        <v>1</v>
      </c>
      <c r="E28" s="604" t="s">
        <v>1</v>
      </c>
      <c r="F28" s="604" t="s">
        <v>1</v>
      </c>
      <c r="G28" s="604" t="s">
        <v>1</v>
      </c>
      <c r="H28" s="605">
        <f>SUM(H8:H27)</f>
        <v>2217600</v>
      </c>
      <c r="I28" s="4"/>
      <c r="L28" s="4"/>
      <c r="M28" s="4"/>
    </row>
    <row r="29" spans="2:13" ht="12.75">
      <c r="B29" s="4"/>
      <c r="C29" s="4"/>
      <c r="D29" s="4"/>
      <c r="E29" s="4"/>
      <c r="F29" s="4"/>
      <c r="G29" s="4"/>
      <c r="H29" s="4"/>
      <c r="I29" s="4"/>
      <c r="L29" s="4"/>
      <c r="M29" s="4"/>
    </row>
    <row r="30" spans="2:13" ht="24">
      <c r="B30" s="724" t="s">
        <v>643</v>
      </c>
      <c r="C30" s="726" t="s">
        <v>60</v>
      </c>
      <c r="D30" s="713" t="s">
        <v>644</v>
      </c>
      <c r="E30" s="606" t="s">
        <v>645</v>
      </c>
      <c r="F30" s="607"/>
      <c r="G30" s="606" t="s">
        <v>646</v>
      </c>
      <c r="H30" s="607"/>
      <c r="I30" s="4"/>
      <c r="L30" s="4"/>
      <c r="M30" s="4"/>
    </row>
    <row r="31" spans="2:13" ht="26.25" customHeight="1">
      <c r="B31" s="725"/>
      <c r="C31" s="727"/>
      <c r="D31" s="714"/>
      <c r="E31" s="608" t="s">
        <v>647</v>
      </c>
      <c r="F31" s="608" t="s">
        <v>648</v>
      </c>
      <c r="G31" s="608" t="s">
        <v>647</v>
      </c>
      <c r="H31" s="608" t="s">
        <v>649</v>
      </c>
      <c r="I31" s="4"/>
      <c r="L31" s="4"/>
      <c r="M31" s="4"/>
    </row>
    <row r="32" spans="2:13" ht="12.75">
      <c r="B32" s="609">
        <v>1</v>
      </c>
      <c r="C32" s="609">
        <v>2</v>
      </c>
      <c r="D32" s="609">
        <v>3</v>
      </c>
      <c r="E32" s="609">
        <v>4</v>
      </c>
      <c r="F32" s="609">
        <v>5</v>
      </c>
      <c r="G32" s="609">
        <v>6</v>
      </c>
      <c r="H32" s="609">
        <v>7</v>
      </c>
      <c r="I32" s="4"/>
      <c r="L32" s="4"/>
      <c r="M32" s="4"/>
    </row>
    <row r="33" spans="2:13" ht="42" customHeight="1">
      <c r="B33" s="47"/>
      <c r="C33" s="81" t="s">
        <v>650</v>
      </c>
      <c r="D33" s="10"/>
      <c r="E33" s="47" t="s">
        <v>1</v>
      </c>
      <c r="F33" s="610">
        <v>2916.67</v>
      </c>
      <c r="G33" s="47" t="s">
        <v>1</v>
      </c>
      <c r="H33" s="610">
        <v>6666.67</v>
      </c>
      <c r="I33" s="4"/>
      <c r="L33" s="4"/>
      <c r="M33" s="4"/>
    </row>
    <row r="34" spans="2:13" ht="38.25">
      <c r="B34" s="47"/>
      <c r="C34" s="17" t="s">
        <v>651</v>
      </c>
      <c r="D34" s="611">
        <f>SUM(D36:D38)</f>
        <v>16</v>
      </c>
      <c r="E34" s="612">
        <v>6</v>
      </c>
      <c r="F34" s="597">
        <f>E34*$F$33</f>
        <v>17500.02</v>
      </c>
      <c r="G34" s="612">
        <v>2</v>
      </c>
      <c r="H34" s="613">
        <f>G34*$H$33</f>
        <v>13333.34</v>
      </c>
      <c r="I34" s="4"/>
      <c r="L34" s="4"/>
      <c r="M34" s="4"/>
    </row>
    <row r="35" spans="2:13" ht="18" customHeight="1">
      <c r="B35" s="47"/>
      <c r="C35" s="614" t="s">
        <v>652</v>
      </c>
      <c r="D35" s="615"/>
      <c r="E35" s="10"/>
      <c r="F35" s="10"/>
      <c r="G35" s="10"/>
      <c r="H35" s="10"/>
      <c r="I35" s="4"/>
      <c r="L35" s="4"/>
      <c r="M35" s="4"/>
    </row>
    <row r="36" spans="2:13" ht="51.75" customHeight="1">
      <c r="B36" s="47">
        <v>1</v>
      </c>
      <c r="C36" s="48" t="s">
        <v>653</v>
      </c>
      <c r="D36" s="616">
        <f>SUM(D13:D21)+D24</f>
        <v>20</v>
      </c>
      <c r="E36" s="10" t="s">
        <v>1</v>
      </c>
      <c r="F36" s="10" t="s">
        <v>1</v>
      </c>
      <c r="G36" s="10" t="s">
        <v>1</v>
      </c>
      <c r="H36" s="10" t="s">
        <v>1</v>
      </c>
      <c r="I36" s="4"/>
      <c r="L36" s="4"/>
      <c r="M36" s="4"/>
    </row>
    <row r="37" spans="2:13" ht="45.75" customHeight="1">
      <c r="B37" s="47">
        <v>2</v>
      </c>
      <c r="C37" s="48" t="s">
        <v>654</v>
      </c>
      <c r="D37" s="55">
        <f>+(D9-D10-D36)/4</f>
        <v>-5</v>
      </c>
      <c r="E37" s="10" t="s">
        <v>1</v>
      </c>
      <c r="F37" s="10" t="s">
        <v>1</v>
      </c>
      <c r="G37" s="10" t="s">
        <v>1</v>
      </c>
      <c r="H37" s="10" t="s">
        <v>1</v>
      </c>
      <c r="I37" s="4"/>
      <c r="L37" s="4"/>
      <c r="M37" s="4"/>
    </row>
    <row r="38" spans="2:14" ht="30.75" customHeight="1">
      <c r="B38" s="47">
        <v>3</v>
      </c>
      <c r="C38" s="48" t="s">
        <v>655</v>
      </c>
      <c r="D38" s="617">
        <v>1</v>
      </c>
      <c r="E38" s="10" t="s">
        <v>1</v>
      </c>
      <c r="F38" s="10" t="s">
        <v>1</v>
      </c>
      <c r="G38" s="10" t="s">
        <v>1</v>
      </c>
      <c r="H38" s="10" t="s">
        <v>1</v>
      </c>
      <c r="I38" s="4"/>
      <c r="L38" s="4"/>
      <c r="M38" s="4"/>
      <c r="N38" s="618"/>
    </row>
    <row r="39" spans="2:14" ht="38.25" customHeight="1">
      <c r="B39" s="601"/>
      <c r="C39" s="602" t="s">
        <v>656</v>
      </c>
      <c r="D39" s="603" t="s">
        <v>1</v>
      </c>
      <c r="E39" s="604" t="s">
        <v>1</v>
      </c>
      <c r="F39" s="604" t="s">
        <v>1</v>
      </c>
      <c r="G39" s="604" t="s">
        <v>1</v>
      </c>
      <c r="H39" s="605">
        <f>+(F34+H34)*12*1.2</f>
        <v>444000.384</v>
      </c>
      <c r="I39" s="4"/>
      <c r="L39" s="4"/>
      <c r="M39" s="4"/>
      <c r="N39" s="618"/>
    </row>
    <row r="40" spans="2:13" ht="13.5">
      <c r="B40" s="4"/>
      <c r="C40" s="4"/>
      <c r="D40" s="4"/>
      <c r="E40" s="4"/>
      <c r="F40" s="4"/>
      <c r="G40" s="4"/>
      <c r="H40" s="4"/>
      <c r="I40" s="4"/>
      <c r="L40" s="4"/>
      <c r="M40" s="4"/>
    </row>
    <row r="41" spans="2:14" ht="63" customHeight="1">
      <c r="B41" s="619" t="s">
        <v>657</v>
      </c>
      <c r="C41" s="620" t="s">
        <v>658</v>
      </c>
      <c r="D41" s="603" t="s">
        <v>1</v>
      </c>
      <c r="E41" s="603" t="s">
        <v>1</v>
      </c>
      <c r="F41" s="603" t="s">
        <v>1</v>
      </c>
      <c r="G41" s="603" t="s">
        <v>1</v>
      </c>
      <c r="H41" s="605">
        <f>+D34*1000*12</f>
        <v>192000</v>
      </c>
      <c r="I41" s="4"/>
      <c r="L41" s="4"/>
      <c r="M41" s="4"/>
      <c r="N41" s="618"/>
    </row>
    <row r="42" spans="2:13" ht="13.5">
      <c r="B42" s="4"/>
      <c r="C42" s="4"/>
      <c r="D42" s="4"/>
      <c r="E42" s="4"/>
      <c r="F42" s="4"/>
      <c r="G42" s="4"/>
      <c r="H42" s="4"/>
      <c r="I42" s="4"/>
      <c r="L42" s="4"/>
      <c r="M42" s="4"/>
    </row>
    <row r="43" spans="2:13" ht="33">
      <c r="B43" s="621" t="s">
        <v>659</v>
      </c>
      <c r="C43" s="622" t="s">
        <v>660</v>
      </c>
      <c r="D43" s="603" t="s">
        <v>1</v>
      </c>
      <c r="E43" s="603" t="s">
        <v>1</v>
      </c>
      <c r="F43" s="603" t="s">
        <v>1</v>
      </c>
      <c r="G43" s="603" t="s">
        <v>1</v>
      </c>
      <c r="H43" s="605">
        <f>SUM(H45:H48)</f>
        <v>506400</v>
      </c>
      <c r="I43" s="4"/>
      <c r="L43" s="4"/>
      <c r="M43" s="4"/>
    </row>
    <row r="44" spans="2:13" ht="13.5" customHeight="1">
      <c r="B44" s="10"/>
      <c r="C44" s="10"/>
      <c r="D44" s="10"/>
      <c r="E44" s="10"/>
      <c r="F44" s="10"/>
      <c r="G44" s="10"/>
      <c r="H44" s="596"/>
      <c r="I44" s="4"/>
      <c r="L44" s="4"/>
      <c r="M44" s="4"/>
    </row>
    <row r="45" spans="2:13" ht="13.5">
      <c r="B45" s="47">
        <v>1</v>
      </c>
      <c r="C45" s="56" t="s">
        <v>661</v>
      </c>
      <c r="D45" s="10" t="s">
        <v>1</v>
      </c>
      <c r="E45" s="10" t="s">
        <v>1</v>
      </c>
      <c r="F45" s="10" t="s">
        <v>1</v>
      </c>
      <c r="G45" s="10" t="s">
        <v>1</v>
      </c>
      <c r="H45" s="596">
        <v>506400</v>
      </c>
      <c r="I45" s="4"/>
      <c r="L45" s="4"/>
      <c r="M45" s="4"/>
    </row>
    <row r="46" spans="2:13" ht="13.5">
      <c r="B46" s="47">
        <v>2</v>
      </c>
      <c r="C46" s="56" t="s">
        <v>67</v>
      </c>
      <c r="D46" s="10" t="s">
        <v>1</v>
      </c>
      <c r="E46" s="10" t="s">
        <v>1</v>
      </c>
      <c r="F46" s="10" t="s">
        <v>1</v>
      </c>
      <c r="G46" s="10" t="s">
        <v>1</v>
      </c>
      <c r="H46" s="596"/>
      <c r="I46" s="4"/>
      <c r="L46" s="4"/>
      <c r="M46" s="4"/>
    </row>
    <row r="47" spans="2:13" ht="13.5">
      <c r="B47" s="47">
        <v>3</v>
      </c>
      <c r="C47" s="60" t="s">
        <v>347</v>
      </c>
      <c r="D47" s="10" t="s">
        <v>1</v>
      </c>
      <c r="E47" s="10" t="s">
        <v>1</v>
      </c>
      <c r="F47" s="10" t="s">
        <v>1</v>
      </c>
      <c r="G47" s="10" t="s">
        <v>1</v>
      </c>
      <c r="H47" s="596"/>
      <c r="I47" s="4"/>
      <c r="L47" s="4"/>
      <c r="M47" s="4"/>
    </row>
    <row r="48" spans="2:13" ht="13.5">
      <c r="B48" s="47">
        <v>4</v>
      </c>
      <c r="C48" s="56" t="s">
        <v>176</v>
      </c>
      <c r="D48" s="10" t="s">
        <v>1</v>
      </c>
      <c r="E48" s="10" t="s">
        <v>1</v>
      </c>
      <c r="F48" s="10" t="s">
        <v>1</v>
      </c>
      <c r="G48" s="10" t="s">
        <v>1</v>
      </c>
      <c r="H48" s="596"/>
      <c r="I48" s="4"/>
      <c r="L48" s="4"/>
      <c r="M48" s="4"/>
    </row>
    <row r="49" spans="2:13" ht="25.5" customHeight="1">
      <c r="B49" s="495"/>
      <c r="C49" s="623" t="s">
        <v>299</v>
      </c>
      <c r="D49" s="624" t="s">
        <v>1</v>
      </c>
      <c r="E49" s="624" t="s">
        <v>1</v>
      </c>
      <c r="F49" s="624" t="s">
        <v>1</v>
      </c>
      <c r="G49" s="624" t="s">
        <v>1</v>
      </c>
      <c r="H49" s="605">
        <f>(H41+H39+H28+H43)/1000</f>
        <v>3360.000384</v>
      </c>
      <c r="I49" s="4"/>
      <c r="L49" s="4"/>
      <c r="M49" s="4"/>
    </row>
    <row r="50" spans="2:13" ht="13.5">
      <c r="B50" s="4"/>
      <c r="C50" s="4"/>
      <c r="D50" s="4"/>
      <c r="E50" s="4"/>
      <c r="F50" s="4"/>
      <c r="G50" s="4"/>
      <c r="I50" s="4"/>
      <c r="L50" s="4"/>
      <c r="M50" s="4"/>
    </row>
    <row r="51" spans="2:14" s="238" customFormat="1" ht="17.25">
      <c r="B51" s="3"/>
      <c r="C51" s="58"/>
      <c r="D51" s="59"/>
      <c r="E51" s="59"/>
      <c r="F51" s="572"/>
      <c r="G51" s="59"/>
      <c r="H51" s="57"/>
      <c r="I51" s="4"/>
      <c r="J51" s="4"/>
      <c r="K51" s="4"/>
      <c r="L51" s="4"/>
      <c r="N51" s="4"/>
    </row>
    <row r="52" spans="9:12" ht="13.5">
      <c r="I52" s="4"/>
      <c r="L52" s="4"/>
    </row>
    <row r="53" spans="2:3" ht="13.5">
      <c r="B53" s="625" t="s">
        <v>6</v>
      </c>
      <c r="C53" s="626" t="s">
        <v>662</v>
      </c>
    </row>
    <row r="54" spans="2:12" ht="19.5">
      <c r="B54" s="627">
        <v>1</v>
      </c>
      <c r="C54" s="628" t="s">
        <v>663</v>
      </c>
      <c r="I54" s="4"/>
      <c r="L54" s="4"/>
    </row>
    <row r="55" spans="2:12" ht="19.5">
      <c r="B55" s="627">
        <v>2</v>
      </c>
      <c r="C55" s="628" t="s">
        <v>664</v>
      </c>
      <c r="I55" s="4"/>
      <c r="L55" s="4"/>
    </row>
  </sheetData>
  <sheetProtection/>
  <mergeCells count="8">
    <mergeCell ref="D30:D31"/>
    <mergeCell ref="B4:H4"/>
    <mergeCell ref="B5:H5"/>
    <mergeCell ref="B11:B12"/>
    <mergeCell ref="C11:C12"/>
    <mergeCell ref="E11:H11"/>
    <mergeCell ref="B30:B31"/>
    <mergeCell ref="C30:C31"/>
  </mergeCells>
  <printOptions/>
  <pageMargins left="0.25" right="0.25" top="0.25" bottom="0.25" header="0.22" footer="0.16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L23" sqref="L23"/>
    </sheetView>
  </sheetViews>
  <sheetFormatPr defaultColWidth="9.140625" defaultRowHeight="12.75"/>
  <cols>
    <col min="1" max="1" width="4.28125" style="3" customWidth="1"/>
    <col min="2" max="2" width="30.7109375" style="60" customWidth="1"/>
    <col min="3" max="3" width="8.28125" style="60" customWidth="1"/>
    <col min="4" max="5" width="10.00390625" style="60" customWidth="1"/>
    <col min="6" max="6" width="9.140625" style="57" customWidth="1"/>
    <col min="7" max="7" width="8.00390625" style="60" customWidth="1"/>
    <col min="8" max="8" width="11.8515625" style="57" customWidth="1"/>
    <col min="9" max="9" width="12.140625" style="3" customWidth="1"/>
    <col min="10" max="16384" width="9.140625" style="4" customWidth="1"/>
  </cols>
  <sheetData>
    <row r="1" spans="1:14" s="28" customFormat="1" ht="13.5">
      <c r="A1" s="214"/>
      <c r="B1" s="2"/>
      <c r="C1" s="2"/>
      <c r="D1" s="72"/>
      <c r="E1" s="72"/>
      <c r="F1" s="2"/>
      <c r="G1" s="2"/>
      <c r="H1" s="27"/>
      <c r="I1" s="85" t="s">
        <v>66</v>
      </c>
      <c r="J1" s="2"/>
      <c r="K1" s="27"/>
      <c r="L1" s="27"/>
      <c r="M1" s="27"/>
      <c r="N1" s="27"/>
    </row>
    <row r="2" spans="1:14" s="28" customFormat="1" ht="12.75" customHeight="1">
      <c r="A2" s="27"/>
      <c r="B2" s="2"/>
      <c r="C2" s="2"/>
      <c r="D2" s="72"/>
      <c r="E2" s="72"/>
      <c r="F2" s="2"/>
      <c r="G2" s="2"/>
      <c r="H2" s="706" t="s">
        <v>9</v>
      </c>
      <c r="I2" s="706"/>
      <c r="J2" s="706"/>
      <c r="K2" s="27"/>
      <c r="L2" s="27"/>
      <c r="M2" s="27"/>
      <c r="N2" s="27"/>
    </row>
    <row r="3" spans="2:7" s="28" customFormat="1" ht="27.75" thickBot="1">
      <c r="B3" s="19" t="s">
        <v>460</v>
      </c>
      <c r="C3" s="6"/>
      <c r="D3" s="6"/>
      <c r="E3" s="6"/>
      <c r="F3" s="219"/>
      <c r="G3" s="219"/>
    </row>
    <row r="4" spans="1:9" s="28" customFormat="1" ht="14.25">
      <c r="A4" s="27"/>
      <c r="B4" s="72"/>
      <c r="C4" s="72"/>
      <c r="D4" s="72"/>
      <c r="E4" s="2"/>
      <c r="F4" s="73"/>
      <c r="G4" s="74"/>
      <c r="H4" s="64"/>
      <c r="I4" s="29"/>
    </row>
    <row r="5" spans="1:9" s="28" customFormat="1" ht="13.5">
      <c r="A5" s="27"/>
      <c r="B5" s="38" t="s">
        <v>59</v>
      </c>
      <c r="C5" s="73"/>
      <c r="D5" s="73"/>
      <c r="E5" s="73"/>
      <c r="F5" s="73"/>
      <c r="G5" s="73"/>
      <c r="H5" s="73"/>
      <c r="I5" s="27"/>
    </row>
    <row r="6" spans="1:9" s="28" customFormat="1" ht="27">
      <c r="A6" s="27"/>
      <c r="B6" s="73" t="s">
        <v>665</v>
      </c>
      <c r="C6" s="73"/>
      <c r="D6" s="73"/>
      <c r="E6" s="73"/>
      <c r="F6" s="73"/>
      <c r="G6" s="73"/>
      <c r="H6" s="73"/>
      <c r="I6" s="27"/>
    </row>
    <row r="7" spans="1:9" s="28" customFormat="1" ht="13.5">
      <c r="A7" s="27"/>
      <c r="B7" s="72"/>
      <c r="C7" s="72"/>
      <c r="D7" s="72"/>
      <c r="E7" s="72"/>
      <c r="F7" s="64"/>
      <c r="G7" s="72"/>
      <c r="H7" s="64"/>
      <c r="I7" s="27"/>
    </row>
    <row r="8" spans="1:9" s="12" customFormat="1" ht="63.75">
      <c r="A8" s="75"/>
      <c r="B8" s="76"/>
      <c r="C8" s="44" t="s">
        <v>69</v>
      </c>
      <c r="D8" s="44" t="s">
        <v>70</v>
      </c>
      <c r="E8" s="44" t="s">
        <v>71</v>
      </c>
      <c r="F8" s="44" t="s">
        <v>72</v>
      </c>
      <c r="G8" s="43" t="s">
        <v>73</v>
      </c>
      <c r="H8" s="43" t="s">
        <v>74</v>
      </c>
      <c r="I8" s="77" t="s">
        <v>75</v>
      </c>
    </row>
    <row r="9" spans="1:9" s="12" customFormat="1" ht="12.75">
      <c r="A9" s="5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50">
        <v>9</v>
      </c>
    </row>
    <row r="10" spans="1:9" ht="67.5">
      <c r="A10" s="50">
        <v>1</v>
      </c>
      <c r="B10" s="48" t="s">
        <v>261</v>
      </c>
      <c r="C10" s="21" t="s">
        <v>1</v>
      </c>
      <c r="D10" s="21">
        <v>0</v>
      </c>
      <c r="E10" s="21">
        <v>1600</v>
      </c>
      <c r="F10" s="10"/>
      <c r="G10" s="21">
        <v>29.32</v>
      </c>
      <c r="H10" s="49">
        <f>F10*G10</f>
        <v>0</v>
      </c>
      <c r="I10" s="267">
        <f>H10*0.05348</f>
        <v>0</v>
      </c>
    </row>
    <row r="11" spans="1:9" ht="67.5">
      <c r="A11" s="50">
        <v>2</v>
      </c>
      <c r="B11" s="48" t="s">
        <v>77</v>
      </c>
      <c r="C11" s="21" t="s">
        <v>1</v>
      </c>
      <c r="D11" s="21" t="s">
        <v>1</v>
      </c>
      <c r="E11" s="21" t="s">
        <v>1</v>
      </c>
      <c r="F11" s="10">
        <v>4000</v>
      </c>
      <c r="G11" s="21">
        <v>21.4</v>
      </c>
      <c r="H11" s="49">
        <f>F11*G11</f>
        <v>85600</v>
      </c>
      <c r="I11" s="267">
        <f>H11*0.05348</f>
        <v>4577.888</v>
      </c>
    </row>
    <row r="12" spans="1:9" ht="67.5">
      <c r="A12" s="50">
        <v>3</v>
      </c>
      <c r="B12" s="48" t="s">
        <v>78</v>
      </c>
      <c r="C12" s="48">
        <v>100</v>
      </c>
      <c r="D12" s="21" t="s">
        <v>1</v>
      </c>
      <c r="E12" s="21" t="s">
        <v>1</v>
      </c>
      <c r="F12" s="21" t="s">
        <v>1</v>
      </c>
      <c r="G12" s="21">
        <v>1100</v>
      </c>
      <c r="H12" s="78">
        <f>C12*G12</f>
        <v>110000</v>
      </c>
      <c r="I12" s="267">
        <f>H12*0.05348</f>
        <v>5882.8</v>
      </c>
    </row>
    <row r="13" spans="1:9" ht="40.5">
      <c r="A13" s="50">
        <v>4</v>
      </c>
      <c r="B13" s="48" t="s">
        <v>76</v>
      </c>
      <c r="C13" s="21"/>
      <c r="D13" s="78">
        <f>SUM(D15:D18)</f>
        <v>22.5</v>
      </c>
      <c r="E13" s="78">
        <f>SUM(E15:E18)</f>
        <v>3630</v>
      </c>
      <c r="F13" s="21" t="s">
        <v>1</v>
      </c>
      <c r="G13" s="21" t="s">
        <v>1</v>
      </c>
      <c r="H13" s="78">
        <f>SUM(H15:H18)</f>
        <v>25560</v>
      </c>
      <c r="I13" s="78">
        <f>SUM(I15:I18)</f>
        <v>1366.9488000000001</v>
      </c>
    </row>
    <row r="14" spans="1:9" ht="21" customHeight="1">
      <c r="A14" s="50"/>
      <c r="B14" s="48" t="s">
        <v>79</v>
      </c>
      <c r="C14" s="21"/>
      <c r="D14" s="21"/>
      <c r="E14" s="21"/>
      <c r="F14" s="21"/>
      <c r="G14" s="21"/>
      <c r="H14" s="78"/>
      <c r="I14" s="267">
        <f>H14*0.05348</f>
        <v>0</v>
      </c>
    </row>
    <row r="15" spans="1:9" ht="21" customHeight="1">
      <c r="A15" s="50">
        <v>4.1</v>
      </c>
      <c r="B15" s="48" t="s">
        <v>461</v>
      </c>
      <c r="C15" s="21" t="s">
        <v>1</v>
      </c>
      <c r="D15" s="21">
        <v>7</v>
      </c>
      <c r="E15" s="21">
        <v>2500</v>
      </c>
      <c r="F15" s="21" t="s">
        <v>1</v>
      </c>
      <c r="G15" s="21" t="s">
        <v>1</v>
      </c>
      <c r="H15" s="78">
        <f>D15*E15</f>
        <v>17500</v>
      </c>
      <c r="I15" s="267">
        <f>H15*0.05348</f>
        <v>935.9</v>
      </c>
    </row>
    <row r="16" spans="1:9" ht="21" customHeight="1">
      <c r="A16" s="50">
        <v>4.2</v>
      </c>
      <c r="B16" s="48" t="s">
        <v>462</v>
      </c>
      <c r="C16" s="21" t="s">
        <v>1</v>
      </c>
      <c r="D16" s="21">
        <v>7</v>
      </c>
      <c r="E16" s="21">
        <v>1030</v>
      </c>
      <c r="F16" s="21" t="s">
        <v>1</v>
      </c>
      <c r="G16" s="21" t="s">
        <v>1</v>
      </c>
      <c r="H16" s="78">
        <f>D16*E16</f>
        <v>7210</v>
      </c>
      <c r="I16" s="267">
        <f>H16*0.05348</f>
        <v>385.5908</v>
      </c>
    </row>
    <row r="17" spans="1:9" ht="18" customHeight="1">
      <c r="A17" s="50">
        <v>4.3</v>
      </c>
      <c r="B17" s="48" t="s">
        <v>463</v>
      </c>
      <c r="C17" s="21" t="s">
        <v>1</v>
      </c>
      <c r="D17" s="21">
        <v>8.5</v>
      </c>
      <c r="E17" s="488">
        <v>100</v>
      </c>
      <c r="F17" s="21" t="s">
        <v>1</v>
      </c>
      <c r="G17" s="21" t="s">
        <v>1</v>
      </c>
      <c r="H17" s="78">
        <f>D17*E17</f>
        <v>850</v>
      </c>
      <c r="I17" s="267">
        <f>H17*0.05348</f>
        <v>45.458</v>
      </c>
    </row>
    <row r="18" spans="1:9" ht="18" customHeight="1">
      <c r="A18" s="50">
        <v>4.4</v>
      </c>
      <c r="B18" s="48"/>
      <c r="C18" s="21" t="s">
        <v>1</v>
      </c>
      <c r="D18" s="21"/>
      <c r="E18" s="21"/>
      <c r="F18" s="21" t="s">
        <v>1</v>
      </c>
      <c r="G18" s="21" t="s">
        <v>1</v>
      </c>
      <c r="H18" s="78">
        <f>D18*E18</f>
        <v>0</v>
      </c>
      <c r="I18" s="267">
        <f>H18*0.05348</f>
        <v>0</v>
      </c>
    </row>
    <row r="19" spans="1:9" ht="27" customHeight="1">
      <c r="A19" s="79"/>
      <c r="B19" s="80" t="s">
        <v>63</v>
      </c>
      <c r="C19" s="80"/>
      <c r="D19" s="81" t="s">
        <v>1</v>
      </c>
      <c r="E19" s="81" t="s">
        <v>1</v>
      </c>
      <c r="F19" s="81" t="s">
        <v>1</v>
      </c>
      <c r="G19" s="81" t="s">
        <v>1</v>
      </c>
      <c r="H19" s="82">
        <f>SUM(H10:H13)</f>
        <v>221160</v>
      </c>
      <c r="I19" s="82">
        <f>SUM(I10:I13)*0.65</f>
        <v>7687.96392</v>
      </c>
    </row>
    <row r="22" spans="2:8" ht="16.5">
      <c r="B22" s="83"/>
      <c r="C22" s="84"/>
      <c r="D22" s="84"/>
      <c r="E22" s="84"/>
      <c r="F22" s="59"/>
      <c r="G22" s="84"/>
      <c r="H22" s="59"/>
    </row>
  </sheetData>
  <sheetProtection/>
  <mergeCells count="1">
    <mergeCell ref="H2:J2"/>
  </mergeCells>
  <printOptions/>
  <pageMargins left="0.21" right="0.17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4.28125" style="3" customWidth="1"/>
    <col min="2" max="2" width="17.8515625" style="60" customWidth="1"/>
    <col min="3" max="3" width="12.57421875" style="57" customWidth="1"/>
    <col min="4" max="4" width="17.7109375" style="60" customWidth="1"/>
    <col min="5" max="5" width="16.140625" style="60" customWidth="1"/>
    <col min="6" max="6" width="16.28125" style="57" customWidth="1"/>
    <col min="7" max="7" width="14.00390625" style="3" customWidth="1"/>
    <col min="8" max="8" width="15.140625" style="3" customWidth="1"/>
    <col min="9" max="16384" width="9.140625" style="4" customWidth="1"/>
  </cols>
  <sheetData>
    <row r="1" spans="1:14" s="28" customFormat="1" ht="13.5">
      <c r="A1" s="214"/>
      <c r="B1" s="2"/>
      <c r="C1" s="2"/>
      <c r="D1" s="72"/>
      <c r="E1" s="72"/>
      <c r="F1" s="706"/>
      <c r="G1" s="706"/>
      <c r="H1" s="27"/>
      <c r="I1" s="85" t="s">
        <v>68</v>
      </c>
      <c r="J1" s="2"/>
      <c r="K1" s="27"/>
      <c r="L1" s="27"/>
      <c r="M1" s="27"/>
      <c r="N1" s="27"/>
    </row>
    <row r="2" spans="1:14" s="28" customFormat="1" ht="13.5">
      <c r="A2" s="214"/>
      <c r="B2" s="2"/>
      <c r="C2" s="2"/>
      <c r="D2" s="72"/>
      <c r="E2" s="72"/>
      <c r="F2" s="706"/>
      <c r="G2" s="706"/>
      <c r="H2" s="706" t="s">
        <v>9</v>
      </c>
      <c r="I2" s="706"/>
      <c r="J2" s="706"/>
      <c r="K2" s="27"/>
      <c r="L2" s="27"/>
      <c r="M2" s="27"/>
      <c r="N2" s="27"/>
    </row>
    <row r="3" spans="2:7" s="28" customFormat="1" ht="27.75" customHeight="1" thickBot="1">
      <c r="B3" s="690" t="s">
        <v>667</v>
      </c>
      <c r="C3" s="690"/>
      <c r="D3" s="6"/>
      <c r="E3" s="6"/>
      <c r="F3" s="219"/>
      <c r="G3" s="219"/>
    </row>
    <row r="4" spans="1:8" s="28" customFormat="1" ht="14.25">
      <c r="A4" s="27"/>
      <c r="B4" s="72"/>
      <c r="C4" s="64"/>
      <c r="D4" s="2"/>
      <c r="E4" s="2"/>
      <c r="F4" s="73"/>
      <c r="G4" s="86"/>
      <c r="H4" s="29"/>
    </row>
    <row r="5" spans="1:8" s="28" customFormat="1" ht="13.5">
      <c r="A5" s="27"/>
      <c r="B5" s="38" t="s">
        <v>59</v>
      </c>
      <c r="C5" s="73"/>
      <c r="D5" s="73"/>
      <c r="E5" s="73"/>
      <c r="F5" s="73"/>
      <c r="G5" s="86"/>
      <c r="H5" s="27"/>
    </row>
    <row r="6" spans="1:8" s="28" customFormat="1" ht="27">
      <c r="A6" s="27"/>
      <c r="B6" s="73" t="s">
        <v>666</v>
      </c>
      <c r="C6" s="73"/>
      <c r="D6" s="73"/>
      <c r="E6" s="73"/>
      <c r="F6" s="73"/>
      <c r="G6" s="86"/>
      <c r="H6" s="27"/>
    </row>
    <row r="7" spans="1:7" ht="13.5">
      <c r="A7" s="27"/>
      <c r="B7" s="72"/>
      <c r="C7" s="64"/>
      <c r="D7" s="72"/>
      <c r="E7" s="72"/>
      <c r="F7" s="64"/>
      <c r="G7" s="27"/>
    </row>
    <row r="8" spans="1:8" s="12" customFormat="1" ht="63" customHeight="1">
      <c r="A8" s="75" t="s">
        <v>64</v>
      </c>
      <c r="B8" s="44" t="s">
        <v>81</v>
      </c>
      <c r="C8" s="44" t="s">
        <v>82</v>
      </c>
      <c r="D8" s="11" t="s">
        <v>83</v>
      </c>
      <c r="E8" s="11" t="s">
        <v>84</v>
      </c>
      <c r="F8" s="43" t="s">
        <v>214</v>
      </c>
      <c r="G8" s="43" t="s">
        <v>213</v>
      </c>
      <c r="H8" s="77" t="s">
        <v>86</v>
      </c>
    </row>
    <row r="9" spans="1:8" s="12" customFormat="1" ht="18" customHeight="1">
      <c r="A9" s="5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50">
        <v>7</v>
      </c>
      <c r="H9" s="50">
        <v>8</v>
      </c>
    </row>
    <row r="10" spans="1:8" s="12" customFormat="1" ht="24.75" customHeight="1">
      <c r="A10" s="79">
        <v>1</v>
      </c>
      <c r="B10" s="489" t="s">
        <v>464</v>
      </c>
      <c r="C10" s="44" t="s">
        <v>85</v>
      </c>
      <c r="D10" s="11">
        <v>15989</v>
      </c>
      <c r="E10" s="11"/>
      <c r="F10" s="11">
        <v>36.8</v>
      </c>
      <c r="G10" s="51">
        <f>E10*F10</f>
        <v>0</v>
      </c>
      <c r="H10" s="490">
        <f>G10*0.05348</f>
        <v>0</v>
      </c>
    </row>
    <row r="11" spans="1:8" s="12" customFormat="1" ht="30.75" customHeight="1">
      <c r="A11" s="50">
        <v>2</v>
      </c>
      <c r="B11" s="489"/>
      <c r="C11" s="44" t="s">
        <v>85</v>
      </c>
      <c r="D11" s="11"/>
      <c r="E11" s="11">
        <v>0</v>
      </c>
      <c r="F11" s="11"/>
      <c r="G11" s="51">
        <f>E11*F11</f>
        <v>0</v>
      </c>
      <c r="H11" s="490">
        <f>G11*0.05348</f>
        <v>0</v>
      </c>
    </row>
    <row r="12" spans="1:8" ht="21.75" customHeight="1">
      <c r="A12" s="87">
        <v>3</v>
      </c>
      <c r="B12" s="489"/>
      <c r="C12" s="44" t="s">
        <v>85</v>
      </c>
      <c r="D12" s="21"/>
      <c r="E12" s="21">
        <v>0</v>
      </c>
      <c r="F12" s="49"/>
      <c r="G12" s="51">
        <f>E12*F12</f>
        <v>0</v>
      </c>
      <c r="H12" s="490">
        <f>G12*0.05348</f>
        <v>0</v>
      </c>
    </row>
    <row r="13" spans="1:8" ht="28.5" customHeight="1">
      <c r="A13" s="47">
        <v>4</v>
      </c>
      <c r="B13" s="489"/>
      <c r="C13" s="44" t="s">
        <v>85</v>
      </c>
      <c r="D13" s="21"/>
      <c r="E13" s="21">
        <v>0</v>
      </c>
      <c r="F13" s="49"/>
      <c r="G13" s="51">
        <f>E13*F13</f>
        <v>0</v>
      </c>
      <c r="H13" s="490">
        <f>G13*0.05348</f>
        <v>0</v>
      </c>
    </row>
    <row r="14" spans="1:8" ht="33.75" customHeight="1">
      <c r="A14" s="87">
        <v>5</v>
      </c>
      <c r="B14" s="69"/>
      <c r="C14" s="44" t="s">
        <v>85</v>
      </c>
      <c r="D14" s="81"/>
      <c r="E14" s="81">
        <v>0</v>
      </c>
      <c r="F14" s="81"/>
      <c r="G14" s="51">
        <f>E14*F14</f>
        <v>0</v>
      </c>
      <c r="H14" s="490">
        <f>G14*0.05348</f>
        <v>0</v>
      </c>
    </row>
    <row r="15" spans="2:8" ht="16.5">
      <c r="B15" s="80" t="s">
        <v>63</v>
      </c>
      <c r="C15" s="9"/>
      <c r="D15" s="48"/>
      <c r="E15" s="48"/>
      <c r="F15" s="9"/>
      <c r="G15" s="88">
        <f>SUM(G10:G14)</f>
        <v>0</v>
      </c>
      <c r="H15" s="88">
        <f>SUM(H10:H14)</f>
        <v>0</v>
      </c>
    </row>
  </sheetData>
  <sheetProtection/>
  <mergeCells count="4">
    <mergeCell ref="B3:C3"/>
    <mergeCell ref="F1:G1"/>
    <mergeCell ref="F2:G2"/>
    <mergeCell ref="H2:J2"/>
  </mergeCells>
  <printOptions/>
  <pageMargins left="0.46" right="0.23" top="0.61" bottom="1" header="0.29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28125" style="3" customWidth="1"/>
    <col min="2" max="2" width="17.00390625" style="60" customWidth="1"/>
    <col min="3" max="3" width="10.7109375" style="57" bestFit="1" customWidth="1"/>
    <col min="4" max="4" width="10.7109375" style="60" customWidth="1"/>
    <col min="5" max="5" width="11.140625" style="60" bestFit="1" customWidth="1"/>
    <col min="6" max="7" width="11.8515625" style="57" customWidth="1"/>
    <col min="8" max="8" width="9.421875" style="57" bestFit="1" customWidth="1"/>
    <col min="9" max="9" width="12.8515625" style="57" customWidth="1"/>
    <col min="10" max="10" width="11.7109375" style="57" bestFit="1" customWidth="1"/>
    <col min="11" max="11" width="8.8515625" style="3" bestFit="1" customWidth="1"/>
    <col min="12" max="12" width="9.8515625" style="3" customWidth="1"/>
    <col min="13" max="13" width="12.00390625" style="4" bestFit="1" customWidth="1"/>
    <col min="14" max="16384" width="9.140625" style="4" customWidth="1"/>
  </cols>
  <sheetData>
    <row r="1" spans="1:14" s="28" customFormat="1" ht="13.5">
      <c r="A1" s="214"/>
      <c r="B1" s="2"/>
      <c r="C1" s="2"/>
      <c r="D1" s="72"/>
      <c r="E1" s="72"/>
      <c r="F1" s="2"/>
      <c r="G1" s="2"/>
      <c r="H1" s="706"/>
      <c r="I1" s="706"/>
      <c r="J1" s="27"/>
      <c r="K1" s="27"/>
      <c r="L1" s="85" t="s">
        <v>80</v>
      </c>
      <c r="M1" s="2"/>
      <c r="N1" s="27"/>
    </row>
    <row r="2" spans="1:14" s="28" customFormat="1" ht="12.75" customHeight="1">
      <c r="A2" s="214"/>
      <c r="B2" s="2"/>
      <c r="C2" s="2"/>
      <c r="D2" s="72"/>
      <c r="E2" s="72"/>
      <c r="F2" s="2"/>
      <c r="G2" s="2"/>
      <c r="H2" s="706"/>
      <c r="I2" s="706"/>
      <c r="J2" s="27"/>
      <c r="K2" s="706" t="s">
        <v>9</v>
      </c>
      <c r="L2" s="706"/>
      <c r="M2" s="706"/>
      <c r="N2" s="27"/>
    </row>
    <row r="3" spans="2:7" s="28" customFormat="1" ht="27.75" customHeight="1" thickBot="1">
      <c r="B3" s="690" t="s">
        <v>668</v>
      </c>
      <c r="C3" s="690"/>
      <c r="D3" s="487"/>
      <c r="E3" s="6"/>
      <c r="F3" s="219"/>
      <c r="G3" s="219"/>
    </row>
    <row r="4" spans="1:10" s="28" customFormat="1" ht="23.25" customHeight="1">
      <c r="A4" s="27"/>
      <c r="B4" s="73" t="s">
        <v>59</v>
      </c>
      <c r="C4" s="73"/>
      <c r="D4" s="73"/>
      <c r="E4" s="73"/>
      <c r="F4" s="73"/>
      <c r="G4" s="73"/>
      <c r="H4" s="86"/>
      <c r="I4" s="86"/>
      <c r="J4" s="86"/>
    </row>
    <row r="5" spans="1:10" s="28" customFormat="1" ht="27">
      <c r="A5" s="27"/>
      <c r="B5" s="73" t="s">
        <v>669</v>
      </c>
      <c r="C5" s="73"/>
      <c r="D5" s="73"/>
      <c r="E5" s="73"/>
      <c r="F5" s="73"/>
      <c r="G5" s="73"/>
      <c r="H5" s="86"/>
      <c r="I5" s="86"/>
      <c r="J5" s="86"/>
    </row>
    <row r="6" spans="1:12" s="28" customFormat="1" ht="13.5">
      <c r="A6" s="27"/>
      <c r="B6" s="73"/>
      <c r="C6" s="73"/>
      <c r="D6" s="73"/>
      <c r="E6" s="73"/>
      <c r="F6" s="73"/>
      <c r="G6" s="73"/>
      <c r="H6" s="73"/>
      <c r="I6" s="73"/>
      <c r="J6" s="73"/>
      <c r="K6" s="27"/>
      <c r="L6" s="27"/>
    </row>
    <row r="7" spans="1:13" s="12" customFormat="1" ht="89.25">
      <c r="A7" s="75" t="s">
        <v>64</v>
      </c>
      <c r="B7" s="44" t="s">
        <v>81</v>
      </c>
      <c r="C7" s="44" t="s">
        <v>88</v>
      </c>
      <c r="D7" s="11" t="s">
        <v>89</v>
      </c>
      <c r="E7" s="11" t="s">
        <v>84</v>
      </c>
      <c r="F7" s="11" t="s">
        <v>90</v>
      </c>
      <c r="G7" s="43" t="s">
        <v>91</v>
      </c>
      <c r="H7" s="11" t="s">
        <v>92</v>
      </c>
      <c r="I7" s="11" t="s">
        <v>93</v>
      </c>
      <c r="J7" s="11" t="s">
        <v>94</v>
      </c>
      <c r="K7" s="43" t="s">
        <v>95</v>
      </c>
      <c r="L7" s="43" t="s">
        <v>96</v>
      </c>
      <c r="M7" s="77" t="s">
        <v>97</v>
      </c>
    </row>
    <row r="8" spans="1:13" s="12" customFormat="1" ht="18" customHeight="1">
      <c r="A8" s="50">
        <v>1</v>
      </c>
      <c r="B8" s="11">
        <v>2</v>
      </c>
      <c r="C8" s="11">
        <v>3</v>
      </c>
      <c r="D8" s="50">
        <v>4</v>
      </c>
      <c r="E8" s="11">
        <v>5</v>
      </c>
      <c r="F8" s="11">
        <v>6</v>
      </c>
      <c r="G8" s="50">
        <v>7</v>
      </c>
      <c r="H8" s="11">
        <v>8</v>
      </c>
      <c r="I8" s="11">
        <v>9</v>
      </c>
      <c r="J8" s="50">
        <v>10</v>
      </c>
      <c r="K8" s="11">
        <v>11</v>
      </c>
      <c r="L8" s="11">
        <v>12</v>
      </c>
      <c r="M8" s="50">
        <v>13</v>
      </c>
    </row>
    <row r="9" spans="1:13" s="12" customFormat="1" ht="18" customHeight="1">
      <c r="A9" s="90">
        <v>1</v>
      </c>
      <c r="B9" s="491" t="s">
        <v>465</v>
      </c>
      <c r="C9" s="91" t="s">
        <v>85</v>
      </c>
      <c r="D9" s="21">
        <v>15989</v>
      </c>
      <c r="E9" s="21">
        <v>10494</v>
      </c>
      <c r="F9" s="21">
        <v>0.0316</v>
      </c>
      <c r="G9" s="78">
        <v>147</v>
      </c>
      <c r="H9" s="92">
        <v>312.7</v>
      </c>
      <c r="I9" s="21" t="s">
        <v>1</v>
      </c>
      <c r="J9" s="21" t="s">
        <v>1</v>
      </c>
      <c r="K9" s="92">
        <f>G9*H9</f>
        <v>45966.9</v>
      </c>
      <c r="L9" s="265">
        <v>0.1437</v>
      </c>
      <c r="M9" s="266">
        <f>K9*L9</f>
        <v>6605.44353</v>
      </c>
    </row>
    <row r="10" spans="1:13" ht="13.5">
      <c r="A10" s="90"/>
      <c r="B10" s="491"/>
      <c r="C10" s="91"/>
      <c r="D10" s="21"/>
      <c r="E10" s="21"/>
      <c r="F10" s="21"/>
      <c r="G10" s="78"/>
      <c r="H10" s="92"/>
      <c r="I10" s="92"/>
      <c r="J10" s="21"/>
      <c r="K10" s="92"/>
      <c r="L10" s="265">
        <v>0.1437</v>
      </c>
      <c r="M10" s="266">
        <f>K10*L10</f>
        <v>0</v>
      </c>
    </row>
    <row r="11" spans="1:13" ht="18" customHeight="1">
      <c r="A11" s="90"/>
      <c r="B11" s="48"/>
      <c r="C11" s="91"/>
      <c r="D11" s="21"/>
      <c r="E11" s="21"/>
      <c r="F11" s="21"/>
      <c r="G11" s="78"/>
      <c r="H11" s="21"/>
      <c r="I11" s="92"/>
      <c r="J11" s="21"/>
      <c r="K11" s="92"/>
      <c r="L11" s="265">
        <v>0.1437</v>
      </c>
      <c r="M11" s="266">
        <f>K11*L11</f>
        <v>0</v>
      </c>
    </row>
    <row r="12" spans="1:13" ht="13.5">
      <c r="A12" s="90"/>
      <c r="B12" s="48"/>
      <c r="C12" s="91"/>
      <c r="D12" s="21"/>
      <c r="E12" s="21"/>
      <c r="F12" s="21"/>
      <c r="G12" s="78"/>
      <c r="H12" s="21"/>
      <c r="I12" s="92"/>
      <c r="J12" s="21"/>
      <c r="K12" s="92"/>
      <c r="L12" s="265">
        <v>0.1437</v>
      </c>
      <c r="M12" s="266"/>
    </row>
    <row r="13" spans="1:13" s="12" customFormat="1" ht="18" customHeight="1">
      <c r="A13" s="90"/>
      <c r="B13" s="21"/>
      <c r="C13" s="91"/>
      <c r="D13" s="21"/>
      <c r="E13" s="21"/>
      <c r="F13" s="21"/>
      <c r="G13" s="78"/>
      <c r="H13" s="21"/>
      <c r="I13" s="21"/>
      <c r="J13" s="78"/>
      <c r="K13" s="92"/>
      <c r="L13" s="265"/>
      <c r="M13" s="266"/>
    </row>
    <row r="14" spans="1:13" ht="13.5">
      <c r="A14" s="90"/>
      <c r="B14" s="48"/>
      <c r="C14" s="91"/>
      <c r="D14" s="21"/>
      <c r="E14" s="21"/>
      <c r="F14" s="21"/>
      <c r="G14" s="78"/>
      <c r="H14" s="92"/>
      <c r="I14" s="92"/>
      <c r="J14" s="92"/>
      <c r="K14" s="92"/>
      <c r="L14" s="265"/>
      <c r="M14" s="266"/>
    </row>
    <row r="15" spans="1:13" ht="22.5" customHeight="1">
      <c r="A15" s="93"/>
      <c r="B15" s="17" t="s">
        <v>63</v>
      </c>
      <c r="C15" s="81" t="s">
        <v>1</v>
      </c>
      <c r="D15" s="81" t="s">
        <v>1</v>
      </c>
      <c r="E15" s="81" t="s">
        <v>1</v>
      </c>
      <c r="F15" s="81" t="s">
        <v>1</v>
      </c>
      <c r="G15" s="81" t="s">
        <v>1</v>
      </c>
      <c r="H15" s="81" t="s">
        <v>1</v>
      </c>
      <c r="I15" s="81" t="s">
        <v>1</v>
      </c>
      <c r="J15" s="81" t="s">
        <v>1</v>
      </c>
      <c r="K15" s="81" t="s">
        <v>1</v>
      </c>
      <c r="L15" s="81" t="s">
        <v>1</v>
      </c>
      <c r="M15" s="88">
        <f>SUM(M9:M14)</f>
        <v>6605.44353</v>
      </c>
    </row>
    <row r="16" spans="1:13" ht="27" customHeight="1">
      <c r="A16" s="94"/>
      <c r="B16" s="89"/>
      <c r="C16" s="95"/>
      <c r="D16" s="95"/>
      <c r="E16" s="95"/>
      <c r="F16" s="95"/>
      <c r="G16" s="95"/>
      <c r="H16" s="95"/>
      <c r="I16" s="95"/>
      <c r="J16" s="96"/>
      <c r="K16" s="96"/>
      <c r="L16" s="96"/>
      <c r="M16" s="97"/>
    </row>
    <row r="17" spans="1:13" ht="10.5" customHeight="1">
      <c r="A17" s="94"/>
      <c r="C17" s="89"/>
      <c r="D17" s="89"/>
      <c r="E17" s="89"/>
      <c r="F17" s="89"/>
      <c r="G17" s="89"/>
      <c r="H17" s="89"/>
      <c r="I17" s="89" t="s">
        <v>0</v>
      </c>
      <c r="J17" s="89"/>
      <c r="K17" s="89"/>
      <c r="L17" s="89"/>
      <c r="M17" s="98"/>
    </row>
    <row r="18" spans="1:13" ht="22.5" customHeight="1">
      <c r="A18" s="27"/>
      <c r="B18" s="99" t="s">
        <v>99</v>
      </c>
      <c r="C18" s="73"/>
      <c r="D18" s="74" t="s">
        <v>0</v>
      </c>
      <c r="E18" s="74"/>
      <c r="F18" s="73"/>
      <c r="G18" s="73"/>
      <c r="H18" s="73"/>
      <c r="I18" s="73"/>
      <c r="J18" s="73"/>
      <c r="K18" s="86"/>
      <c r="L18" s="86"/>
      <c r="M18" s="86"/>
    </row>
    <row r="19" spans="1:14" ht="28.5" customHeight="1">
      <c r="A19" s="27"/>
      <c r="B19" s="89" t="s">
        <v>121</v>
      </c>
      <c r="C19" s="73"/>
      <c r="D19" s="74"/>
      <c r="E19" s="74"/>
      <c r="F19" s="73"/>
      <c r="G19" s="73"/>
      <c r="H19" s="73"/>
      <c r="I19" s="73"/>
      <c r="J19" s="73"/>
      <c r="K19" s="86"/>
      <c r="L19" s="86"/>
      <c r="M19" s="86"/>
      <c r="N19" s="4" t="s">
        <v>0</v>
      </c>
    </row>
    <row r="20" spans="1:13" ht="13.5">
      <c r="A20" s="27"/>
      <c r="B20" s="89" t="s">
        <v>98</v>
      </c>
      <c r="C20" s="73"/>
      <c r="D20" s="74"/>
      <c r="E20" s="74"/>
      <c r="F20" s="73"/>
      <c r="G20" s="73"/>
      <c r="H20" s="73"/>
      <c r="I20" s="73"/>
      <c r="J20" s="73"/>
      <c r="K20" s="86" t="s">
        <v>0</v>
      </c>
      <c r="L20" s="86"/>
      <c r="M20" s="86"/>
    </row>
    <row r="21" spans="2:6" ht="13.5">
      <c r="B21" s="84"/>
      <c r="C21" s="59"/>
      <c r="D21" s="84"/>
      <c r="E21" s="84"/>
      <c r="F21" s="59"/>
    </row>
  </sheetData>
  <sheetProtection/>
  <mergeCells count="4">
    <mergeCell ref="B3:C3"/>
    <mergeCell ref="H1:I1"/>
    <mergeCell ref="H2:I2"/>
    <mergeCell ref="K2:M2"/>
  </mergeCells>
  <printOptions/>
  <pageMargins left="0.19" right="0.17" top="0.42" bottom="0.53" header="0.2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3.421875" style="3" customWidth="1"/>
    <col min="2" max="2" width="24.7109375" style="4" customWidth="1"/>
    <col min="3" max="3" width="19.7109375" style="4" customWidth="1"/>
    <col min="4" max="4" width="9.8515625" style="4" bestFit="1" customWidth="1"/>
    <col min="5" max="5" width="8.7109375" style="4" bestFit="1" customWidth="1"/>
    <col min="6" max="6" width="10.421875" style="116" customWidth="1"/>
    <col min="7" max="8" width="11.57421875" style="116" customWidth="1"/>
    <col min="9" max="9" width="9.57421875" style="4" bestFit="1" customWidth="1"/>
    <col min="10" max="10" width="9.57421875" style="4" customWidth="1"/>
    <col min="11" max="11" width="10.8515625" style="4" bestFit="1" customWidth="1"/>
    <col min="12" max="12" width="9.7109375" style="4" customWidth="1"/>
    <col min="13" max="13" width="11.140625" style="4" customWidth="1"/>
    <col min="14" max="14" width="7.28125" style="116" customWidth="1"/>
    <col min="15" max="16" width="11.57421875" style="116" customWidth="1"/>
    <col min="17" max="17" width="9.57421875" style="4" bestFit="1" customWidth="1"/>
    <col min="18" max="18" width="9.57421875" style="4" customWidth="1"/>
    <col min="19" max="19" width="10.8515625" style="4" bestFit="1" customWidth="1"/>
    <col min="20" max="20" width="9.57421875" style="4" customWidth="1"/>
    <col min="21" max="21" width="11.140625" style="4" customWidth="1"/>
    <col min="22" max="22" width="10.7109375" style="4" bestFit="1" customWidth="1"/>
    <col min="23" max="16384" width="9.140625" style="4" customWidth="1"/>
  </cols>
  <sheetData>
    <row r="1" spans="1:26" s="28" customFormat="1" ht="13.5">
      <c r="A1" s="214"/>
      <c r="B1" s="2"/>
      <c r="C1" s="2"/>
      <c r="D1" s="2"/>
      <c r="E1" s="2"/>
      <c r="F1" s="2"/>
      <c r="G1" s="72"/>
      <c r="H1" s="72"/>
      <c r="I1" s="72"/>
      <c r="J1" s="72"/>
      <c r="K1" s="2"/>
      <c r="L1" s="2"/>
      <c r="M1" s="100"/>
      <c r="N1" s="100"/>
      <c r="O1" s="100"/>
      <c r="P1" s="100"/>
      <c r="Q1" s="100"/>
      <c r="R1" s="100"/>
      <c r="S1" s="27"/>
      <c r="T1" s="85" t="s">
        <v>87</v>
      </c>
      <c r="U1" s="2"/>
      <c r="V1" s="706"/>
      <c r="W1" s="706"/>
      <c r="X1" s="706"/>
      <c r="Y1" s="706"/>
      <c r="Z1" s="706"/>
    </row>
    <row r="2" spans="1:26" s="28" customFormat="1" ht="13.5">
      <c r="A2" s="214"/>
      <c r="B2" s="2"/>
      <c r="C2" s="2"/>
      <c r="D2" s="2"/>
      <c r="E2" s="2"/>
      <c r="F2" s="2"/>
      <c r="G2" s="72"/>
      <c r="H2" s="72"/>
      <c r="I2" s="72"/>
      <c r="J2" s="72"/>
      <c r="K2" s="2"/>
      <c r="L2" s="2"/>
      <c r="M2" s="100"/>
      <c r="N2" s="100"/>
      <c r="O2" s="100"/>
      <c r="P2" s="100"/>
      <c r="Q2" s="100"/>
      <c r="R2" s="100"/>
      <c r="S2" s="706" t="s">
        <v>9</v>
      </c>
      <c r="T2" s="706"/>
      <c r="U2" s="706"/>
      <c r="V2" s="706"/>
      <c r="W2" s="706"/>
      <c r="X2" s="706"/>
      <c r="Y2" s="706"/>
      <c r="Z2" s="706"/>
    </row>
    <row r="3" spans="2:23" s="28" customFormat="1" ht="15" thickBot="1">
      <c r="B3" s="690" t="s">
        <v>10</v>
      </c>
      <c r="C3" s="690"/>
      <c r="D3" s="690"/>
      <c r="E3" s="690"/>
      <c r="F3" s="690"/>
      <c r="G3" s="6"/>
      <c r="H3" s="6"/>
      <c r="I3" s="6"/>
      <c r="J3" s="6"/>
      <c r="K3" s="219"/>
      <c r="L3" s="219"/>
      <c r="M3" s="100"/>
      <c r="N3" s="100"/>
      <c r="O3" s="100"/>
      <c r="P3" s="100"/>
      <c r="Q3" s="100"/>
      <c r="R3" s="100"/>
      <c r="S3" s="100"/>
      <c r="T3" s="100"/>
      <c r="U3" s="100"/>
      <c r="W3" s="28" t="s">
        <v>0</v>
      </c>
    </row>
    <row r="4" spans="1:21" s="28" customFormat="1" ht="14.25">
      <c r="A4" s="27"/>
      <c r="B4" s="741" t="s">
        <v>101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35"/>
      <c r="O4" s="35"/>
      <c r="P4" s="35"/>
      <c r="Q4" s="35"/>
      <c r="R4" s="35"/>
      <c r="S4" s="35"/>
      <c r="T4" s="35"/>
      <c r="U4" s="35"/>
    </row>
    <row r="5" spans="1:21" s="28" customFormat="1" ht="13.5">
      <c r="A5" s="27"/>
      <c r="B5" s="122"/>
      <c r="C5" s="122"/>
      <c r="D5" s="122"/>
      <c r="E5" s="122"/>
      <c r="F5" s="220"/>
      <c r="G5" s="220"/>
      <c r="H5" s="220"/>
      <c r="I5" s="122"/>
      <c r="J5" s="122"/>
      <c r="K5" s="122"/>
      <c r="L5" s="122"/>
      <c r="M5" s="122"/>
      <c r="N5" s="221"/>
      <c r="O5" s="221"/>
      <c r="P5" s="221"/>
      <c r="Q5" s="8"/>
      <c r="R5" s="8"/>
      <c r="S5" s="8"/>
      <c r="T5" s="8"/>
      <c r="U5" s="8"/>
    </row>
    <row r="6" spans="1:21" s="28" customFormat="1" ht="14.25">
      <c r="A6" s="27"/>
      <c r="B6" s="741" t="s">
        <v>815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124"/>
      <c r="O6" s="124"/>
      <c r="P6" s="124"/>
      <c r="Q6" s="124"/>
      <c r="R6" s="124"/>
      <c r="S6" s="124"/>
      <c r="T6" s="124"/>
      <c r="U6" s="124"/>
    </row>
    <row r="7" spans="1:21" s="28" customFormat="1" ht="14.25">
      <c r="A7" s="27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</row>
    <row r="8" spans="1:22" s="28" customFormat="1" ht="15" thickBot="1">
      <c r="A8" s="27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742" t="s">
        <v>102</v>
      </c>
      <c r="V8" s="742"/>
    </row>
    <row r="9" spans="1:22" ht="15" customHeight="1">
      <c r="A9" s="728" t="s">
        <v>64</v>
      </c>
      <c r="B9" s="730" t="s">
        <v>103</v>
      </c>
      <c r="C9" s="732" t="s">
        <v>268</v>
      </c>
      <c r="D9" s="743" t="s">
        <v>610</v>
      </c>
      <c r="E9" s="744"/>
      <c r="F9" s="734" t="s">
        <v>278</v>
      </c>
      <c r="G9" s="735"/>
      <c r="H9" s="735"/>
      <c r="I9" s="735"/>
      <c r="J9" s="735"/>
      <c r="K9" s="735"/>
      <c r="L9" s="735"/>
      <c r="M9" s="736"/>
      <c r="N9" s="734" t="s">
        <v>289</v>
      </c>
      <c r="O9" s="735"/>
      <c r="P9" s="735"/>
      <c r="Q9" s="735"/>
      <c r="R9" s="735"/>
      <c r="S9" s="735"/>
      <c r="T9" s="735"/>
      <c r="U9" s="736"/>
      <c r="V9" s="737" t="s">
        <v>816</v>
      </c>
    </row>
    <row r="10" spans="1:22" ht="14.25">
      <c r="A10" s="729"/>
      <c r="B10" s="731"/>
      <c r="C10" s="733"/>
      <c r="D10" s="104"/>
      <c r="E10" s="670"/>
      <c r="F10" s="671"/>
      <c r="G10" s="672"/>
      <c r="H10" s="740" t="s">
        <v>106</v>
      </c>
      <c r="I10" s="740"/>
      <c r="J10" s="740" t="s">
        <v>110</v>
      </c>
      <c r="K10" s="740"/>
      <c r="L10" s="672"/>
      <c r="M10" s="673"/>
      <c r="N10" s="671"/>
      <c r="O10" s="672"/>
      <c r="P10" s="740" t="s">
        <v>106</v>
      </c>
      <c r="Q10" s="740"/>
      <c r="R10" s="740" t="s">
        <v>110</v>
      </c>
      <c r="S10" s="740"/>
      <c r="T10" s="672"/>
      <c r="U10" s="673"/>
      <c r="V10" s="738"/>
    </row>
    <row r="11" spans="1:22" s="12" customFormat="1" ht="77.25" thickBot="1">
      <c r="A11" s="729"/>
      <c r="B11" s="731"/>
      <c r="C11" s="733"/>
      <c r="D11" s="674" t="s">
        <v>105</v>
      </c>
      <c r="E11" s="675" t="s">
        <v>109</v>
      </c>
      <c r="F11" s="674" t="s">
        <v>104</v>
      </c>
      <c r="G11" s="101" t="s">
        <v>105</v>
      </c>
      <c r="H11" s="101" t="s">
        <v>107</v>
      </c>
      <c r="I11" s="101" t="s">
        <v>63</v>
      </c>
      <c r="J11" s="101" t="s">
        <v>107</v>
      </c>
      <c r="K11" s="101" t="s">
        <v>63</v>
      </c>
      <c r="L11" s="101" t="s">
        <v>108</v>
      </c>
      <c r="M11" s="675" t="s">
        <v>109</v>
      </c>
      <c r="N11" s="676" t="s">
        <v>104</v>
      </c>
      <c r="O11" s="677" t="s">
        <v>105</v>
      </c>
      <c r="P11" s="677" t="s">
        <v>107</v>
      </c>
      <c r="Q11" s="677" t="s">
        <v>63</v>
      </c>
      <c r="R11" s="677" t="s">
        <v>107</v>
      </c>
      <c r="S11" s="677" t="s">
        <v>63</v>
      </c>
      <c r="T11" s="677" t="s">
        <v>111</v>
      </c>
      <c r="U11" s="678" t="s">
        <v>109</v>
      </c>
      <c r="V11" s="739"/>
    </row>
    <row r="12" spans="1:22" s="12" customFormat="1" ht="13.5" thickBot="1">
      <c r="A12" s="679">
        <v>1</v>
      </c>
      <c r="B12" s="680">
        <v>2</v>
      </c>
      <c r="C12" s="681">
        <v>3</v>
      </c>
      <c r="D12" s="61">
        <v>4</v>
      </c>
      <c r="E12" s="682">
        <v>5</v>
      </c>
      <c r="F12" s="61">
        <v>6</v>
      </c>
      <c r="G12" s="683">
        <v>7</v>
      </c>
      <c r="H12" s="62">
        <v>8</v>
      </c>
      <c r="I12" s="683">
        <v>9</v>
      </c>
      <c r="J12" s="683">
        <v>10</v>
      </c>
      <c r="K12" s="62">
        <v>11</v>
      </c>
      <c r="L12" s="683">
        <v>12</v>
      </c>
      <c r="M12" s="681">
        <v>13</v>
      </c>
      <c r="N12" s="684">
        <v>14</v>
      </c>
      <c r="O12" s="683">
        <v>15</v>
      </c>
      <c r="P12" s="683">
        <v>16</v>
      </c>
      <c r="Q12" s="62">
        <v>17</v>
      </c>
      <c r="R12" s="683">
        <v>18</v>
      </c>
      <c r="S12" s="683">
        <v>19</v>
      </c>
      <c r="T12" s="62">
        <v>20</v>
      </c>
      <c r="U12" s="683">
        <v>21</v>
      </c>
      <c r="V12" s="681">
        <v>22</v>
      </c>
    </row>
    <row r="13" spans="1:22" ht="36.75" customHeight="1">
      <c r="A13" s="102"/>
      <c r="B13" s="662" t="s">
        <v>28</v>
      </c>
      <c r="C13" s="663" t="s">
        <v>1</v>
      </c>
      <c r="D13" s="663" t="s">
        <v>1</v>
      </c>
      <c r="E13" s="663" t="s">
        <v>1</v>
      </c>
      <c r="F13" s="663" t="s">
        <v>1</v>
      </c>
      <c r="G13" s="663" t="s">
        <v>1</v>
      </c>
      <c r="H13" s="663" t="s">
        <v>1</v>
      </c>
      <c r="I13" s="663" t="s">
        <v>1</v>
      </c>
      <c r="J13" s="663" t="s">
        <v>1</v>
      </c>
      <c r="K13" s="663" t="s">
        <v>1</v>
      </c>
      <c r="L13" s="663" t="s">
        <v>1</v>
      </c>
      <c r="M13" s="663" t="s">
        <v>1</v>
      </c>
      <c r="N13" s="663" t="s">
        <v>1</v>
      </c>
      <c r="O13" s="663" t="s">
        <v>1</v>
      </c>
      <c r="P13" s="663"/>
      <c r="Q13" s="663" t="s">
        <v>1</v>
      </c>
      <c r="R13" s="663" t="s">
        <v>1</v>
      </c>
      <c r="S13" s="663" t="s">
        <v>1</v>
      </c>
      <c r="T13" s="663" t="s">
        <v>1</v>
      </c>
      <c r="U13" s="663" t="s">
        <v>1</v>
      </c>
      <c r="V13" s="664" t="s">
        <v>1</v>
      </c>
    </row>
    <row r="14" spans="1:22" ht="18.75" customHeight="1">
      <c r="A14" s="104">
        <v>1</v>
      </c>
      <c r="B14" s="103" t="s">
        <v>466</v>
      </c>
      <c r="C14" s="665"/>
      <c r="D14" s="665"/>
      <c r="E14" s="665">
        <v>8041.4</v>
      </c>
      <c r="F14" s="105">
        <v>9.435</v>
      </c>
      <c r="G14" s="666">
        <v>20</v>
      </c>
      <c r="H14" s="105">
        <v>5</v>
      </c>
      <c r="I14" s="105">
        <f aca="true" t="shared" si="0" ref="I14:I21">F14*G14*H14</f>
        <v>943.5000000000001</v>
      </c>
      <c r="J14" s="105">
        <v>5</v>
      </c>
      <c r="K14" s="105">
        <f aca="true" t="shared" si="1" ref="K14:K21">(F14-1)*G14*J14</f>
        <v>843.5000000000001</v>
      </c>
      <c r="L14" s="666">
        <v>1</v>
      </c>
      <c r="M14" s="105">
        <f aca="true" t="shared" si="2" ref="M14:M21">I14+K14+(L14*G14*2)</f>
        <v>1827.0000000000002</v>
      </c>
      <c r="N14" s="105">
        <v>9.635</v>
      </c>
      <c r="O14" s="666">
        <v>20</v>
      </c>
      <c r="P14" s="105">
        <v>5</v>
      </c>
      <c r="Q14" s="105">
        <f aca="true" t="shared" si="3" ref="Q14:Q21">N14*O14*P14</f>
        <v>963.5</v>
      </c>
      <c r="R14" s="105">
        <v>5</v>
      </c>
      <c r="S14" s="105">
        <f aca="true" t="shared" si="4" ref="S14:S21">(N14-1)*O14*R14</f>
        <v>863.5</v>
      </c>
      <c r="T14" s="666">
        <v>1</v>
      </c>
      <c r="U14" s="105">
        <f aca="true" t="shared" si="5" ref="U14:U21">Q14+S14+(T14*O14*2)</f>
        <v>1867</v>
      </c>
      <c r="V14" s="667">
        <f aca="true" t="shared" si="6" ref="V14:V21">U14-M14</f>
        <v>39.99999999999977</v>
      </c>
    </row>
    <row r="15" spans="1:22" ht="18.75" customHeight="1">
      <c r="A15" s="104">
        <v>2</v>
      </c>
      <c r="B15" s="103" t="s">
        <v>466</v>
      </c>
      <c r="C15" s="665"/>
      <c r="D15" s="665"/>
      <c r="E15" s="665"/>
      <c r="F15" s="666">
        <v>6</v>
      </c>
      <c r="G15" s="666">
        <v>40</v>
      </c>
      <c r="H15" s="105">
        <v>5</v>
      </c>
      <c r="I15" s="105">
        <f t="shared" si="0"/>
        <v>1200</v>
      </c>
      <c r="J15" s="105">
        <v>5</v>
      </c>
      <c r="K15" s="105">
        <f t="shared" si="1"/>
        <v>1000</v>
      </c>
      <c r="L15" s="666">
        <v>1</v>
      </c>
      <c r="M15" s="105">
        <f t="shared" si="2"/>
        <v>2280</v>
      </c>
      <c r="N15" s="666">
        <v>6</v>
      </c>
      <c r="O15" s="666">
        <v>40</v>
      </c>
      <c r="P15" s="105">
        <v>5</v>
      </c>
      <c r="Q15" s="105">
        <f t="shared" si="3"/>
        <v>1200</v>
      </c>
      <c r="R15" s="105">
        <v>5</v>
      </c>
      <c r="S15" s="105">
        <f t="shared" si="4"/>
        <v>1000</v>
      </c>
      <c r="T15" s="666">
        <v>1</v>
      </c>
      <c r="U15" s="105">
        <f t="shared" si="5"/>
        <v>2280</v>
      </c>
      <c r="V15" s="667">
        <f t="shared" si="6"/>
        <v>0</v>
      </c>
    </row>
    <row r="16" spans="1:22" ht="18.75" customHeight="1">
      <c r="A16" s="106">
        <v>3</v>
      </c>
      <c r="B16" s="103" t="s">
        <v>466</v>
      </c>
      <c r="C16" s="685"/>
      <c r="D16" s="685"/>
      <c r="E16" s="685"/>
      <c r="F16" s="344">
        <v>5</v>
      </c>
      <c r="G16" s="344">
        <v>28</v>
      </c>
      <c r="H16" s="105">
        <v>5</v>
      </c>
      <c r="I16" s="105">
        <f t="shared" si="0"/>
        <v>700</v>
      </c>
      <c r="J16" s="105">
        <v>5</v>
      </c>
      <c r="K16" s="105">
        <f t="shared" si="1"/>
        <v>560</v>
      </c>
      <c r="L16" s="666">
        <v>1</v>
      </c>
      <c r="M16" s="105">
        <f t="shared" si="2"/>
        <v>1316</v>
      </c>
      <c r="N16" s="344">
        <v>5</v>
      </c>
      <c r="O16" s="344">
        <v>28</v>
      </c>
      <c r="P16" s="105">
        <v>5</v>
      </c>
      <c r="Q16" s="105">
        <f t="shared" si="3"/>
        <v>700</v>
      </c>
      <c r="R16" s="105">
        <v>5</v>
      </c>
      <c r="S16" s="105">
        <f t="shared" si="4"/>
        <v>560</v>
      </c>
      <c r="T16" s="666">
        <v>1</v>
      </c>
      <c r="U16" s="105">
        <f t="shared" si="5"/>
        <v>1316</v>
      </c>
      <c r="V16" s="667">
        <f t="shared" si="6"/>
        <v>0</v>
      </c>
    </row>
    <row r="17" spans="1:22" ht="18.75" customHeight="1">
      <c r="A17" s="106">
        <v>4</v>
      </c>
      <c r="B17" s="103" t="s">
        <v>466</v>
      </c>
      <c r="C17" s="685"/>
      <c r="D17" s="685"/>
      <c r="E17" s="685"/>
      <c r="F17" s="344">
        <v>2</v>
      </c>
      <c r="G17" s="344">
        <v>45</v>
      </c>
      <c r="H17" s="105">
        <v>5</v>
      </c>
      <c r="I17" s="105">
        <f t="shared" si="0"/>
        <v>450</v>
      </c>
      <c r="J17" s="105">
        <v>5</v>
      </c>
      <c r="K17" s="105">
        <f t="shared" si="1"/>
        <v>225</v>
      </c>
      <c r="L17" s="666">
        <v>1</v>
      </c>
      <c r="M17" s="105">
        <f t="shared" si="2"/>
        <v>765</v>
      </c>
      <c r="N17" s="344">
        <v>2</v>
      </c>
      <c r="O17" s="344">
        <v>45</v>
      </c>
      <c r="P17" s="105">
        <v>5</v>
      </c>
      <c r="Q17" s="105">
        <f t="shared" si="3"/>
        <v>450</v>
      </c>
      <c r="R17" s="105">
        <v>5</v>
      </c>
      <c r="S17" s="105">
        <f t="shared" si="4"/>
        <v>225</v>
      </c>
      <c r="T17" s="666">
        <v>1</v>
      </c>
      <c r="U17" s="105">
        <f t="shared" si="5"/>
        <v>765</v>
      </c>
      <c r="V17" s="667">
        <f t="shared" si="6"/>
        <v>0</v>
      </c>
    </row>
    <row r="18" spans="1:22" ht="18.75" customHeight="1">
      <c r="A18" s="106">
        <v>5</v>
      </c>
      <c r="B18" s="103" t="s">
        <v>466</v>
      </c>
      <c r="C18" s="685"/>
      <c r="D18" s="685"/>
      <c r="E18" s="685"/>
      <c r="F18" s="344">
        <v>1</v>
      </c>
      <c r="G18" s="344">
        <v>45</v>
      </c>
      <c r="H18" s="105">
        <v>5</v>
      </c>
      <c r="I18" s="105">
        <f t="shared" si="0"/>
        <v>225</v>
      </c>
      <c r="J18" s="105">
        <v>5</v>
      </c>
      <c r="K18" s="105">
        <f t="shared" si="1"/>
        <v>0</v>
      </c>
      <c r="L18" s="666">
        <v>1</v>
      </c>
      <c r="M18" s="105">
        <f t="shared" si="2"/>
        <v>315</v>
      </c>
      <c r="N18" s="344">
        <v>1</v>
      </c>
      <c r="O18" s="344">
        <v>45</v>
      </c>
      <c r="P18" s="105">
        <v>5</v>
      </c>
      <c r="Q18" s="105">
        <f t="shared" si="3"/>
        <v>225</v>
      </c>
      <c r="R18" s="105">
        <v>5</v>
      </c>
      <c r="S18" s="105">
        <f t="shared" si="4"/>
        <v>0</v>
      </c>
      <c r="T18" s="666">
        <v>1</v>
      </c>
      <c r="U18" s="105">
        <f t="shared" si="5"/>
        <v>315</v>
      </c>
      <c r="V18" s="667">
        <f t="shared" si="6"/>
        <v>0</v>
      </c>
    </row>
    <row r="19" spans="1:22" ht="18.75" customHeight="1">
      <c r="A19" s="106">
        <v>6</v>
      </c>
      <c r="B19" s="9" t="s">
        <v>467</v>
      </c>
      <c r="C19" s="685"/>
      <c r="D19" s="685"/>
      <c r="E19" s="685"/>
      <c r="F19" s="344">
        <v>1</v>
      </c>
      <c r="G19" s="344">
        <v>45</v>
      </c>
      <c r="H19" s="105">
        <v>5</v>
      </c>
      <c r="I19" s="105">
        <f t="shared" si="0"/>
        <v>225</v>
      </c>
      <c r="J19" s="105">
        <v>5</v>
      </c>
      <c r="K19" s="105">
        <f t="shared" si="1"/>
        <v>0</v>
      </c>
      <c r="L19" s="666">
        <v>1</v>
      </c>
      <c r="M19" s="105">
        <f t="shared" si="2"/>
        <v>315</v>
      </c>
      <c r="N19" s="344">
        <v>1</v>
      </c>
      <c r="O19" s="344">
        <v>45</v>
      </c>
      <c r="P19" s="105">
        <v>5</v>
      </c>
      <c r="Q19" s="105">
        <f t="shared" si="3"/>
        <v>225</v>
      </c>
      <c r="R19" s="105">
        <v>5</v>
      </c>
      <c r="S19" s="105">
        <f t="shared" si="4"/>
        <v>0</v>
      </c>
      <c r="T19" s="666">
        <v>1</v>
      </c>
      <c r="U19" s="105">
        <f t="shared" si="5"/>
        <v>315</v>
      </c>
      <c r="V19" s="667">
        <f t="shared" si="6"/>
        <v>0</v>
      </c>
    </row>
    <row r="20" spans="1:22" ht="18.75" customHeight="1">
      <c r="A20" s="106">
        <v>7</v>
      </c>
      <c r="B20" s="9" t="s">
        <v>468</v>
      </c>
      <c r="C20" s="685"/>
      <c r="D20" s="685"/>
      <c r="E20" s="685"/>
      <c r="F20" s="344">
        <v>1</v>
      </c>
      <c r="G20" s="344">
        <v>45</v>
      </c>
      <c r="H20" s="105">
        <v>5</v>
      </c>
      <c r="I20" s="105">
        <f t="shared" si="0"/>
        <v>225</v>
      </c>
      <c r="J20" s="105">
        <v>5</v>
      </c>
      <c r="K20" s="105">
        <f t="shared" si="1"/>
        <v>0</v>
      </c>
      <c r="L20" s="666">
        <v>1</v>
      </c>
      <c r="M20" s="105">
        <f t="shared" si="2"/>
        <v>315</v>
      </c>
      <c r="N20" s="344">
        <v>1</v>
      </c>
      <c r="O20" s="344">
        <v>45</v>
      </c>
      <c r="P20" s="105">
        <v>5</v>
      </c>
      <c r="Q20" s="105">
        <f t="shared" si="3"/>
        <v>225</v>
      </c>
      <c r="R20" s="105">
        <v>5</v>
      </c>
      <c r="S20" s="105">
        <f t="shared" si="4"/>
        <v>0</v>
      </c>
      <c r="T20" s="666">
        <v>1</v>
      </c>
      <c r="U20" s="105">
        <f t="shared" si="5"/>
        <v>315</v>
      </c>
      <c r="V20" s="667">
        <f t="shared" si="6"/>
        <v>0</v>
      </c>
    </row>
    <row r="21" spans="1:22" ht="18.75" customHeight="1" thickBot="1">
      <c r="A21" s="106"/>
      <c r="B21" s="107"/>
      <c r="C21" s="107"/>
      <c r="D21" s="107"/>
      <c r="E21" s="107"/>
      <c r="F21" s="344"/>
      <c r="G21" s="344"/>
      <c r="H21" s="668">
        <v>5</v>
      </c>
      <c r="I21" s="668">
        <f t="shared" si="0"/>
        <v>0</v>
      </c>
      <c r="J21" s="668"/>
      <c r="K21" s="668">
        <f t="shared" si="1"/>
        <v>0</v>
      </c>
      <c r="L21" s="344"/>
      <c r="M21" s="668">
        <f t="shared" si="2"/>
        <v>0</v>
      </c>
      <c r="N21" s="344"/>
      <c r="O21" s="344"/>
      <c r="P21" s="105">
        <v>5</v>
      </c>
      <c r="Q21" s="668">
        <f t="shared" si="3"/>
        <v>0</v>
      </c>
      <c r="R21" s="668"/>
      <c r="S21" s="668">
        <f t="shared" si="4"/>
        <v>0</v>
      </c>
      <c r="T21" s="344"/>
      <c r="U21" s="668">
        <f t="shared" si="5"/>
        <v>0</v>
      </c>
      <c r="V21" s="669">
        <f t="shared" si="6"/>
        <v>0</v>
      </c>
    </row>
    <row r="22" spans="1:22" ht="29.25" customHeight="1" thickBot="1">
      <c r="A22" s="108"/>
      <c r="B22" s="109" t="s">
        <v>812</v>
      </c>
      <c r="C22" s="109"/>
      <c r="D22" s="109"/>
      <c r="E22" s="111">
        <f>SUM(E13:E21)</f>
        <v>8041.4</v>
      </c>
      <c r="F22" s="110"/>
      <c r="G22" s="110"/>
      <c r="H22" s="110"/>
      <c r="I22" s="111">
        <f>SUM(I13:I21)</f>
        <v>3968.5</v>
      </c>
      <c r="J22" s="111"/>
      <c r="K22" s="111">
        <f>SUM(K13:K21)</f>
        <v>2628.5</v>
      </c>
      <c r="L22" s="111"/>
      <c r="M22" s="111">
        <f>SUM(M13:M21)</f>
        <v>7133</v>
      </c>
      <c r="N22" s="110"/>
      <c r="O22" s="110"/>
      <c r="P22" s="110"/>
      <c r="Q22" s="111">
        <f>SUM(Q13:Q21)</f>
        <v>3988.5</v>
      </c>
      <c r="R22" s="111"/>
      <c r="S22" s="111">
        <f>SUM(S13:S21)</f>
        <v>2648.5</v>
      </c>
      <c r="T22" s="111"/>
      <c r="U22" s="111">
        <f>SUM(U13:U21)</f>
        <v>7173</v>
      </c>
      <c r="V22" s="112">
        <f>SUM(V13:V21)</f>
        <v>39.99999999999977</v>
      </c>
    </row>
    <row r="23" spans="1:22" ht="45.75" customHeight="1">
      <c r="A23" s="102"/>
      <c r="B23" s="662" t="s">
        <v>813</v>
      </c>
      <c r="C23" s="663" t="s">
        <v>1</v>
      </c>
      <c r="D23" s="663" t="s">
        <v>1</v>
      </c>
      <c r="E23" s="663" t="s">
        <v>1</v>
      </c>
      <c r="F23" s="663" t="s">
        <v>1</v>
      </c>
      <c r="G23" s="663" t="s">
        <v>1</v>
      </c>
      <c r="H23" s="663" t="s">
        <v>1</v>
      </c>
      <c r="I23" s="663" t="s">
        <v>1</v>
      </c>
      <c r="J23" s="663" t="s">
        <v>1</v>
      </c>
      <c r="K23" s="663" t="s">
        <v>1</v>
      </c>
      <c r="L23" s="663" t="s">
        <v>1</v>
      </c>
      <c r="M23" s="663" t="s">
        <v>1</v>
      </c>
      <c r="N23" s="663" t="s">
        <v>1</v>
      </c>
      <c r="O23" s="663" t="s">
        <v>1</v>
      </c>
      <c r="P23" s="663"/>
      <c r="Q23" s="663" t="s">
        <v>1</v>
      </c>
      <c r="R23" s="663" t="s">
        <v>1</v>
      </c>
      <c r="S23" s="663" t="s">
        <v>1</v>
      </c>
      <c r="T23" s="663" t="s">
        <v>1</v>
      </c>
      <c r="U23" s="663" t="s">
        <v>1</v>
      </c>
      <c r="V23" s="664" t="s">
        <v>1</v>
      </c>
    </row>
    <row r="24" spans="1:22" ht="16.5" customHeight="1">
      <c r="A24" s="104">
        <v>1</v>
      </c>
      <c r="B24" s="665" t="s">
        <v>819</v>
      </c>
      <c r="C24" s="665"/>
      <c r="D24" s="665">
        <v>2</v>
      </c>
      <c r="E24" s="665">
        <v>415.3</v>
      </c>
      <c r="F24" s="666">
        <v>1</v>
      </c>
      <c r="G24" s="666">
        <v>1</v>
      </c>
      <c r="H24" s="666">
        <v>1600</v>
      </c>
      <c r="I24" s="105">
        <f>F24*G24*H24</f>
        <v>1600</v>
      </c>
      <c r="J24" s="105"/>
      <c r="K24" s="105">
        <f>(F24-1)*G24*J24</f>
        <v>0</v>
      </c>
      <c r="L24" s="666"/>
      <c r="M24" s="105">
        <f>I24+K24+(L24*G24*2)</f>
        <v>1600</v>
      </c>
      <c r="N24" s="666">
        <v>1</v>
      </c>
      <c r="O24" s="666">
        <v>1</v>
      </c>
      <c r="P24" s="666">
        <v>1600</v>
      </c>
      <c r="Q24" s="105">
        <f>N24*O24*P24</f>
        <v>1600</v>
      </c>
      <c r="R24" s="105"/>
      <c r="S24" s="105">
        <f>(N24-1)*O24*R24</f>
        <v>0</v>
      </c>
      <c r="T24" s="666"/>
      <c r="U24" s="105">
        <f>Q24+S24+(T24*O24*2)</f>
        <v>1600</v>
      </c>
      <c r="V24" s="667">
        <f>U24-M24</f>
        <v>0</v>
      </c>
    </row>
    <row r="25" spans="1:22" ht="16.5" customHeight="1">
      <c r="A25" s="104">
        <v>2</v>
      </c>
      <c r="B25" s="665"/>
      <c r="C25" s="665"/>
      <c r="D25" s="665"/>
      <c r="E25" s="665"/>
      <c r="F25" s="666"/>
      <c r="G25" s="666"/>
      <c r="H25" s="666"/>
      <c r="I25" s="105">
        <f>F25*G25*H25</f>
        <v>0</v>
      </c>
      <c r="J25" s="105"/>
      <c r="K25" s="105">
        <f>(F25-1)*G25*J25</f>
        <v>0</v>
      </c>
      <c r="L25" s="666"/>
      <c r="M25" s="105">
        <f>I25+K25+(L25*G25*2)</f>
        <v>0</v>
      </c>
      <c r="N25" s="666"/>
      <c r="O25" s="666"/>
      <c r="P25" s="666"/>
      <c r="Q25" s="105">
        <f>N25*O25*P25</f>
        <v>0</v>
      </c>
      <c r="R25" s="105"/>
      <c r="S25" s="105">
        <f>(N25-1)*O25*R25</f>
        <v>0</v>
      </c>
      <c r="T25" s="666"/>
      <c r="U25" s="105">
        <f>Q25+S25+(T25*O25*2)</f>
        <v>0</v>
      </c>
      <c r="V25" s="667">
        <f>U25-M25</f>
        <v>0</v>
      </c>
    </row>
    <row r="26" spans="1:22" ht="16.5" customHeight="1" thickBot="1">
      <c r="A26" s="106">
        <v>3</v>
      </c>
      <c r="B26" s="107"/>
      <c r="C26" s="107"/>
      <c r="D26" s="107"/>
      <c r="E26" s="107"/>
      <c r="F26" s="344"/>
      <c r="G26" s="344"/>
      <c r="H26" s="344"/>
      <c r="I26" s="668">
        <f>F26*G26*H26</f>
        <v>0</v>
      </c>
      <c r="J26" s="668"/>
      <c r="K26" s="668">
        <f>(F26-1)*G26*J26</f>
        <v>0</v>
      </c>
      <c r="L26" s="344"/>
      <c r="M26" s="668">
        <f>I26+K26+(L26*G26*2)</f>
        <v>0</v>
      </c>
      <c r="N26" s="344"/>
      <c r="O26" s="344"/>
      <c r="P26" s="344"/>
      <c r="Q26" s="668">
        <f>N26*O26*P26</f>
        <v>0</v>
      </c>
      <c r="R26" s="668"/>
      <c r="S26" s="668">
        <f>(N26-1)*O26*R26</f>
        <v>0</v>
      </c>
      <c r="T26" s="344"/>
      <c r="U26" s="668">
        <f>Q26+S26+(T26*O26*2)</f>
        <v>0</v>
      </c>
      <c r="V26" s="669">
        <f>U26-M26</f>
        <v>0</v>
      </c>
    </row>
    <row r="27" spans="1:22" ht="30.75" customHeight="1" thickBot="1">
      <c r="A27" s="108"/>
      <c r="B27" s="109" t="s">
        <v>814</v>
      </c>
      <c r="C27" s="109"/>
      <c r="D27" s="109"/>
      <c r="E27" s="109"/>
      <c r="F27" s="110"/>
      <c r="G27" s="110"/>
      <c r="H27" s="110"/>
      <c r="I27" s="111">
        <f>SUM(I23:I26)</f>
        <v>1600</v>
      </c>
      <c r="J27" s="111"/>
      <c r="K27" s="111">
        <f>SUM(K23:K26)</f>
        <v>0</v>
      </c>
      <c r="L27" s="111"/>
      <c r="M27" s="111">
        <f>SUM(M23:M26)</f>
        <v>1600</v>
      </c>
      <c r="N27" s="110"/>
      <c r="O27" s="110"/>
      <c r="P27" s="110"/>
      <c r="Q27" s="111">
        <f>SUM(Q23:Q26)</f>
        <v>1600</v>
      </c>
      <c r="R27" s="111"/>
      <c r="S27" s="111">
        <f>SUM(S23:S26)</f>
        <v>0</v>
      </c>
      <c r="T27" s="111"/>
      <c r="U27" s="111">
        <f>SUM(U23:U26)</f>
        <v>1600</v>
      </c>
      <c r="V27" s="112">
        <f>SUM(V23:V26)</f>
        <v>0</v>
      </c>
    </row>
    <row r="28" spans="2:21" ht="14.25">
      <c r="B28" s="113"/>
      <c r="C28" s="113"/>
      <c r="D28" s="113"/>
      <c r="E28" s="113"/>
      <c r="F28" s="114"/>
      <c r="G28" s="115"/>
      <c r="H28" s="115"/>
      <c r="I28" s="115"/>
      <c r="J28" s="115"/>
      <c r="K28" s="115"/>
      <c r="L28" s="115"/>
      <c r="M28" s="115"/>
      <c r="N28" s="114"/>
      <c r="O28" s="115"/>
      <c r="P28" s="115"/>
      <c r="Q28" s="115"/>
      <c r="R28" s="115"/>
      <c r="S28" s="115"/>
      <c r="T28" s="115"/>
      <c r="U28" s="115"/>
    </row>
    <row r="29" ht="13.5">
      <c r="E29" s="4" t="s">
        <v>820</v>
      </c>
    </row>
  </sheetData>
  <sheetProtection/>
  <mergeCells count="20">
    <mergeCell ref="B6:M6"/>
    <mergeCell ref="U8:V8"/>
    <mergeCell ref="D9:E9"/>
    <mergeCell ref="B3:F3"/>
    <mergeCell ref="V1:W1"/>
    <mergeCell ref="X1:Z1"/>
    <mergeCell ref="S2:U2"/>
    <mergeCell ref="V2:W2"/>
    <mergeCell ref="X2:Z2"/>
    <mergeCell ref="B4:M4"/>
    <mergeCell ref="A9:A11"/>
    <mergeCell ref="B9:B11"/>
    <mergeCell ref="C9:C11"/>
    <mergeCell ref="F9:M9"/>
    <mergeCell ref="N9:U9"/>
    <mergeCell ref="V9:V11"/>
    <mergeCell ref="H10:I10"/>
    <mergeCell ref="J10:K10"/>
    <mergeCell ref="R10:S10"/>
    <mergeCell ref="P10:Q10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71"/>
  <sheetViews>
    <sheetView zoomScalePageLayoutView="0" workbookViewId="0" topLeftCell="A10">
      <pane xSplit="1" ySplit="9" topLeftCell="H19" activePane="bottomRight" state="frozen"/>
      <selection pane="topLeft" activeCell="A10" sqref="A10"/>
      <selection pane="topRight" activeCell="B10" sqref="B10"/>
      <selection pane="bottomLeft" activeCell="A19" sqref="A19"/>
      <selection pane="bottomRight" activeCell="U22" sqref="U22"/>
    </sheetView>
  </sheetViews>
  <sheetFormatPr defaultColWidth="9.140625" defaultRowHeight="12.75"/>
  <cols>
    <col min="2" max="2" width="43.140625" style="0" customWidth="1"/>
    <col min="3" max="3" width="17.7109375" style="0" customWidth="1"/>
    <col min="4" max="5" width="15.421875" style="0" customWidth="1"/>
    <col min="6" max="6" width="16.00390625" style="0" customWidth="1"/>
    <col min="7" max="7" width="15.8515625" style="0" customWidth="1"/>
    <col min="8" max="8" width="11.7109375" style="0" customWidth="1"/>
    <col min="9" max="9" width="12.7109375" style="0" customWidth="1"/>
    <col min="10" max="10" width="23.00390625" style="0" customWidth="1"/>
    <col min="11" max="14" width="15.421875" style="0" customWidth="1"/>
    <col min="15" max="15" width="12.7109375" style="0" customWidth="1"/>
    <col min="16" max="17" width="12.00390625" style="0" customWidth="1"/>
    <col min="18" max="18" width="17.7109375" style="0" customWidth="1"/>
    <col min="19" max="20" width="15.00390625" style="0" customWidth="1"/>
    <col min="21" max="21" width="15.00390625" style="630" customWidth="1"/>
    <col min="22" max="22" width="20.28125" style="0" customWidth="1"/>
    <col min="23" max="23" width="43.00390625" style="0" customWidth="1"/>
  </cols>
  <sheetData>
    <row r="2" spans="1:13" ht="13.5">
      <c r="A2" s="254"/>
      <c r="B2" s="246"/>
      <c r="C2" s="246"/>
      <c r="D2" s="246"/>
      <c r="E2" s="246"/>
      <c r="F2" s="246"/>
      <c r="G2" s="246"/>
      <c r="H2" s="255"/>
      <c r="I2" s="256"/>
      <c r="K2" s="27"/>
      <c r="L2" s="85" t="s">
        <v>100</v>
      </c>
      <c r="M2" s="85"/>
    </row>
    <row r="3" spans="1:13" ht="13.5">
      <c r="A3" s="254"/>
      <c r="B3" s="246"/>
      <c r="C3" s="246"/>
      <c r="D3" s="246"/>
      <c r="E3" s="246"/>
      <c r="F3" s="246"/>
      <c r="G3" s="246"/>
      <c r="H3" s="255"/>
      <c r="I3" s="256"/>
      <c r="K3" s="706" t="s">
        <v>9</v>
      </c>
      <c r="L3" s="706"/>
      <c r="M3" s="706"/>
    </row>
    <row r="4" spans="1:13" ht="14.25" thickBot="1">
      <c r="A4" s="27"/>
      <c r="B4" s="257"/>
      <c r="C4" s="258"/>
      <c r="D4" s="258"/>
      <c r="E4" s="258"/>
      <c r="F4" s="258"/>
      <c r="G4" s="258"/>
      <c r="H4" s="212"/>
      <c r="I4" s="259"/>
      <c r="K4" s="28"/>
      <c r="L4" s="28"/>
      <c r="M4" s="28"/>
    </row>
    <row r="5" spans="1:13" ht="13.5">
      <c r="A5" s="27"/>
      <c r="B5" s="260" t="s">
        <v>10</v>
      </c>
      <c r="C5" s="260"/>
      <c r="D5" s="260"/>
      <c r="E5" s="260"/>
      <c r="F5" s="4"/>
      <c r="G5" s="4"/>
      <c r="H5" s="4"/>
      <c r="I5" s="4"/>
      <c r="K5" s="4"/>
      <c r="L5" s="4"/>
      <c r="M5" s="4"/>
    </row>
    <row r="6" spans="1:13" ht="13.5">
      <c r="A6" s="27"/>
      <c r="B6" s="631"/>
      <c r="C6" s="631"/>
      <c r="D6" s="631"/>
      <c r="E6" s="631"/>
      <c r="F6" s="4"/>
      <c r="G6" s="4"/>
      <c r="H6" s="4"/>
      <c r="I6" s="4"/>
      <c r="K6" s="4"/>
      <c r="L6" s="4"/>
      <c r="M6" s="4"/>
    </row>
    <row r="7" spans="1:13" ht="14.25">
      <c r="A7" s="99" t="s">
        <v>101</v>
      </c>
      <c r="B7" s="99"/>
      <c r="C7" s="99"/>
      <c r="D7" s="99"/>
      <c r="E7" s="99"/>
      <c r="F7" s="4"/>
      <c r="G7" s="4"/>
      <c r="H7" s="4"/>
      <c r="I7" s="4"/>
      <c r="K7" s="4"/>
      <c r="L7" s="4"/>
      <c r="M7" s="4"/>
    </row>
    <row r="8" spans="1:13" ht="14.25">
      <c r="A8" s="99" t="s">
        <v>753</v>
      </c>
      <c r="B8" s="99"/>
      <c r="C8" s="99"/>
      <c r="D8" s="99"/>
      <c r="E8" s="99"/>
      <c r="F8" s="4"/>
      <c r="G8" s="4"/>
      <c r="H8" s="4"/>
      <c r="I8" s="4"/>
      <c r="K8" s="4"/>
      <c r="L8" s="4"/>
      <c r="M8" s="4"/>
    </row>
    <row r="9" spans="1:13" ht="15" thickBot="1">
      <c r="A9" s="99"/>
      <c r="B9" s="262"/>
      <c r="C9" s="99"/>
      <c r="D9" s="99"/>
      <c r="E9" s="99"/>
      <c r="F9" s="4"/>
      <c r="G9" s="4"/>
      <c r="H9" s="4"/>
      <c r="I9" s="4"/>
      <c r="K9" s="4"/>
      <c r="L9" s="4"/>
      <c r="M9" s="4"/>
    </row>
    <row r="10" spans="2:13" ht="15" thickBot="1">
      <c r="B10" s="632" t="s">
        <v>754</v>
      </c>
      <c r="C10" s="632"/>
      <c r="D10" s="632"/>
      <c r="E10" s="633"/>
      <c r="F10" s="4"/>
      <c r="G10" s="4"/>
      <c r="H10" s="4"/>
      <c r="I10" s="4"/>
      <c r="K10" s="4"/>
      <c r="L10" s="4"/>
      <c r="M10" s="4"/>
    </row>
    <row r="11" spans="2:13" ht="15" thickBot="1">
      <c r="B11" s="634"/>
      <c r="C11" s="635"/>
      <c r="D11" s="635"/>
      <c r="E11" s="99"/>
      <c r="F11" s="4"/>
      <c r="G11" s="4"/>
      <c r="H11" s="4"/>
      <c r="I11" s="4"/>
      <c r="K11" s="4"/>
      <c r="L11" s="4"/>
      <c r="M11" s="4"/>
    </row>
    <row r="12" spans="2:13" ht="15" thickBot="1">
      <c r="B12" s="632" t="s">
        <v>755</v>
      </c>
      <c r="C12" s="632"/>
      <c r="D12" s="632"/>
      <c r="E12" s="633"/>
      <c r="F12" s="4"/>
      <c r="G12" s="4"/>
      <c r="H12" s="4"/>
      <c r="I12" s="4"/>
      <c r="K12" s="4"/>
      <c r="L12" s="4"/>
      <c r="M12" s="4"/>
    </row>
    <row r="13" spans="2:13" ht="14.25" thickBot="1">
      <c r="B13" s="4"/>
      <c r="C13" s="4"/>
      <c r="D13" s="4"/>
      <c r="E13" s="4"/>
      <c r="F13" s="4"/>
      <c r="G13" s="4"/>
      <c r="H13" s="4"/>
      <c r="I13" s="4"/>
      <c r="K13" s="4"/>
      <c r="L13" s="4"/>
      <c r="M13" s="4"/>
    </row>
    <row r="14" spans="1:23" ht="57.75" customHeight="1" thickBot="1">
      <c r="A14" s="126"/>
      <c r="B14" s="127"/>
      <c r="C14" s="750" t="s">
        <v>756</v>
      </c>
      <c r="D14" s="751"/>
      <c r="E14" s="751"/>
      <c r="F14" s="751"/>
      <c r="G14" s="751"/>
      <c r="H14" s="751"/>
      <c r="I14" s="752"/>
      <c r="J14" s="753" t="s">
        <v>757</v>
      </c>
      <c r="K14" s="755" t="s">
        <v>758</v>
      </c>
      <c r="L14" s="756"/>
      <c r="M14" s="756"/>
      <c r="N14" s="757"/>
      <c r="O14" s="745" t="s">
        <v>759</v>
      </c>
      <c r="P14" s="746"/>
      <c r="Q14" s="746"/>
      <c r="R14" s="747"/>
      <c r="S14" s="745" t="s">
        <v>760</v>
      </c>
      <c r="T14" s="746"/>
      <c r="U14" s="746"/>
      <c r="V14" s="747"/>
      <c r="W14" s="748" t="s">
        <v>761</v>
      </c>
    </row>
    <row r="15" spans="1:23" ht="81.75" thickBot="1">
      <c r="A15" s="128" t="s">
        <v>64</v>
      </c>
      <c r="B15" s="128" t="s">
        <v>762</v>
      </c>
      <c r="C15" s="129" t="s">
        <v>763</v>
      </c>
      <c r="D15" s="129" t="s">
        <v>764</v>
      </c>
      <c r="E15" s="129" t="s">
        <v>765</v>
      </c>
      <c r="F15" s="129" t="s">
        <v>766</v>
      </c>
      <c r="G15" s="129" t="s">
        <v>767</v>
      </c>
      <c r="H15" s="636" t="s">
        <v>768</v>
      </c>
      <c r="I15" s="637" t="s">
        <v>769</v>
      </c>
      <c r="J15" s="754"/>
      <c r="K15" s="637" t="s">
        <v>770</v>
      </c>
      <c r="L15" s="637" t="s">
        <v>771</v>
      </c>
      <c r="M15" s="638" t="s">
        <v>772</v>
      </c>
      <c r="N15" s="637" t="s">
        <v>773</v>
      </c>
      <c r="O15" s="129" t="s">
        <v>764</v>
      </c>
      <c r="P15" s="129" t="s">
        <v>765</v>
      </c>
      <c r="Q15" s="129" t="s">
        <v>766</v>
      </c>
      <c r="R15" s="639" t="s">
        <v>774</v>
      </c>
      <c r="S15" s="129" t="s">
        <v>764</v>
      </c>
      <c r="T15" s="129" t="s">
        <v>765</v>
      </c>
      <c r="U15" s="129" t="s">
        <v>766</v>
      </c>
      <c r="V15" s="640" t="s">
        <v>774</v>
      </c>
      <c r="W15" s="749"/>
    </row>
    <row r="16" spans="1:23" ht="13.5">
      <c r="A16" s="130">
        <v>1</v>
      </c>
      <c r="B16" s="130">
        <v>2</v>
      </c>
      <c r="C16" s="130">
        <v>3</v>
      </c>
      <c r="D16" s="130">
        <v>4</v>
      </c>
      <c r="E16" s="130">
        <v>5</v>
      </c>
      <c r="F16" s="130">
        <v>6</v>
      </c>
      <c r="G16" s="130">
        <v>7</v>
      </c>
      <c r="H16" s="130">
        <v>8</v>
      </c>
      <c r="I16" s="130">
        <v>9</v>
      </c>
      <c r="J16" s="130">
        <v>10</v>
      </c>
      <c r="K16" s="130">
        <v>11</v>
      </c>
      <c r="L16" s="130">
        <v>12</v>
      </c>
      <c r="M16" s="130">
        <v>13</v>
      </c>
      <c r="N16" s="130">
        <v>14</v>
      </c>
      <c r="O16" s="130">
        <v>15</v>
      </c>
      <c r="P16" s="130">
        <v>16</v>
      </c>
      <c r="Q16" s="130">
        <v>17</v>
      </c>
      <c r="R16" s="130">
        <v>18</v>
      </c>
      <c r="S16" s="130">
        <v>19</v>
      </c>
      <c r="T16" s="130">
        <v>20</v>
      </c>
      <c r="U16" s="130">
        <v>21</v>
      </c>
      <c r="V16" s="130">
        <v>22</v>
      </c>
      <c r="W16" s="130">
        <v>23</v>
      </c>
    </row>
    <row r="17" spans="1:23" ht="17.25" hidden="1">
      <c r="A17" s="90"/>
      <c r="B17" s="131"/>
      <c r="C17" s="92"/>
      <c r="D17" s="92"/>
      <c r="E17" s="92"/>
      <c r="F17" s="92"/>
      <c r="G17" s="92"/>
      <c r="H17" s="92"/>
      <c r="I17" s="263">
        <v>2025</v>
      </c>
      <c r="J17" s="64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ht="30">
      <c r="A18" s="642"/>
      <c r="B18" s="643" t="s">
        <v>775</v>
      </c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/>
    </row>
    <row r="19" spans="1:23" ht="72.75" customHeight="1">
      <c r="A19" s="47">
        <v>1</v>
      </c>
      <c r="B19" t="s">
        <v>818</v>
      </c>
      <c r="C19" s="65" t="s">
        <v>824</v>
      </c>
      <c r="D19" s="65" t="s">
        <v>798</v>
      </c>
      <c r="E19" s="65" t="s">
        <v>791</v>
      </c>
      <c r="F19" s="65" t="s">
        <v>800</v>
      </c>
      <c r="G19" s="65" t="s">
        <v>793</v>
      </c>
      <c r="H19" s="65">
        <v>2012</v>
      </c>
      <c r="I19" s="644">
        <f>10-($I$17-H19)</f>
        <v>-3</v>
      </c>
      <c r="J19" s="645" t="s">
        <v>809</v>
      </c>
      <c r="K19" s="65">
        <v>939.9</v>
      </c>
      <c r="L19" s="65">
        <v>249.8</v>
      </c>
      <c r="M19" s="49">
        <v>11</v>
      </c>
      <c r="N19" s="49">
        <f>SUM(K19:M19)</f>
        <v>1200.7</v>
      </c>
      <c r="O19" s="65"/>
      <c r="P19" s="65"/>
      <c r="Q19" s="65"/>
      <c r="R19" s="65"/>
      <c r="S19" s="65"/>
      <c r="T19" s="65"/>
      <c r="U19" s="65"/>
      <c r="V19" s="65"/>
      <c r="W19" s="9"/>
    </row>
    <row r="20" spans="1:23" ht="30">
      <c r="A20" s="642"/>
      <c r="B20" s="643" t="s">
        <v>776</v>
      </c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</row>
    <row r="21" spans="1:23" ht="40.5">
      <c r="A21" s="47">
        <v>1</v>
      </c>
      <c r="B21" s="686" t="s">
        <v>825</v>
      </c>
      <c r="C21" s="65" t="s">
        <v>469</v>
      </c>
      <c r="D21" s="65" t="s">
        <v>790</v>
      </c>
      <c r="E21" s="65" t="s">
        <v>791</v>
      </c>
      <c r="F21" s="65" t="s">
        <v>792</v>
      </c>
      <c r="G21" s="65" t="s">
        <v>793</v>
      </c>
      <c r="H21" s="65">
        <v>2012</v>
      </c>
      <c r="I21" s="644">
        <f aca="true" t="shared" si="0" ref="I21:I27">10-($I$17-H21)</f>
        <v>-3</v>
      </c>
      <c r="J21" s="645" t="s">
        <v>809</v>
      </c>
      <c r="K21" s="65">
        <v>939.9</v>
      </c>
      <c r="L21" s="65">
        <v>249.8</v>
      </c>
      <c r="M21" s="49">
        <v>11</v>
      </c>
      <c r="N21" s="49">
        <f aca="true" t="shared" si="1" ref="N21:N27">SUM(K21:M21)</f>
        <v>1200.7</v>
      </c>
      <c r="O21" s="65"/>
      <c r="P21" s="65"/>
      <c r="Q21" s="65"/>
      <c r="R21" s="65"/>
      <c r="S21" s="65"/>
      <c r="T21" s="65"/>
      <c r="U21" s="65"/>
      <c r="V21" s="65"/>
      <c r="W21" s="9"/>
    </row>
    <row r="22" spans="1:23" ht="40.5">
      <c r="A22" s="47">
        <v>2</v>
      </c>
      <c r="B22" s="686" t="s">
        <v>825</v>
      </c>
      <c r="C22" s="65" t="s">
        <v>469</v>
      </c>
      <c r="D22" s="65" t="s">
        <v>790</v>
      </c>
      <c r="E22" s="65" t="s">
        <v>791</v>
      </c>
      <c r="F22" s="65" t="s">
        <v>792</v>
      </c>
      <c r="G22" s="65" t="s">
        <v>793</v>
      </c>
      <c r="H22" s="65">
        <v>2014</v>
      </c>
      <c r="I22" s="644">
        <f t="shared" si="0"/>
        <v>-1</v>
      </c>
      <c r="J22" s="645" t="s">
        <v>809</v>
      </c>
      <c r="K22" s="65">
        <v>939.9</v>
      </c>
      <c r="L22" s="65">
        <v>249.8</v>
      </c>
      <c r="M22" s="49">
        <v>11</v>
      </c>
      <c r="N22" s="49">
        <f>SUM(K22:M22)</f>
        <v>1200.7</v>
      </c>
      <c r="O22" s="65"/>
      <c r="P22" s="65"/>
      <c r="Q22" s="65"/>
      <c r="R22" s="65"/>
      <c r="S22" s="65"/>
      <c r="T22" s="65"/>
      <c r="U22" s="65"/>
      <c r="V22" s="65"/>
      <c r="W22" s="9"/>
    </row>
    <row r="23" spans="1:23" ht="40.5">
      <c r="A23" s="47">
        <v>3</v>
      </c>
      <c r="B23" s="686" t="s">
        <v>825</v>
      </c>
      <c r="C23" s="65" t="s">
        <v>826</v>
      </c>
      <c r="D23" s="65" t="s">
        <v>790</v>
      </c>
      <c r="E23" s="65" t="s">
        <v>791</v>
      </c>
      <c r="F23" s="65" t="s">
        <v>800</v>
      </c>
      <c r="G23" s="65" t="s">
        <v>793</v>
      </c>
      <c r="H23" s="65">
        <v>2014</v>
      </c>
      <c r="I23" s="644">
        <f t="shared" si="0"/>
        <v>-1</v>
      </c>
      <c r="J23" s="645" t="s">
        <v>809</v>
      </c>
      <c r="K23" s="65">
        <v>939.9</v>
      </c>
      <c r="L23" s="65">
        <v>249.8</v>
      </c>
      <c r="M23" s="49">
        <v>11</v>
      </c>
      <c r="N23" s="49">
        <f t="shared" si="1"/>
        <v>1200.7</v>
      </c>
      <c r="O23" s="65"/>
      <c r="P23" s="65"/>
      <c r="Q23" s="65"/>
      <c r="R23" s="65"/>
      <c r="S23" s="65"/>
      <c r="T23" s="65"/>
      <c r="U23" s="65"/>
      <c r="V23" s="65"/>
      <c r="W23" s="9"/>
    </row>
    <row r="24" spans="1:23" ht="13.5">
      <c r="A24" s="90">
        <v>4</v>
      </c>
      <c r="B24" s="65"/>
      <c r="C24" s="65"/>
      <c r="D24" s="65"/>
      <c r="E24" s="65"/>
      <c r="F24" s="65"/>
      <c r="G24" s="65"/>
      <c r="H24" s="65"/>
      <c r="I24" s="644">
        <f t="shared" si="0"/>
        <v>-2015</v>
      </c>
      <c r="J24" s="645"/>
      <c r="K24" s="65"/>
      <c r="L24" s="65"/>
      <c r="M24" s="49"/>
      <c r="N24" s="49">
        <f t="shared" si="1"/>
        <v>0</v>
      </c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13.5">
      <c r="A25" s="90">
        <v>5</v>
      </c>
      <c r="B25" s="65"/>
      <c r="C25" s="65"/>
      <c r="D25" s="65"/>
      <c r="E25" s="65"/>
      <c r="F25" s="65"/>
      <c r="G25" s="65"/>
      <c r="H25" s="65"/>
      <c r="I25" s="644">
        <f t="shared" si="0"/>
        <v>-2015</v>
      </c>
      <c r="J25" s="645"/>
      <c r="K25" s="65"/>
      <c r="L25" s="65"/>
      <c r="M25" s="49"/>
      <c r="N25" s="49">
        <f t="shared" si="1"/>
        <v>0</v>
      </c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3.5">
      <c r="A26" s="90">
        <v>6</v>
      </c>
      <c r="B26" s="65"/>
      <c r="C26" s="65"/>
      <c r="D26" s="65"/>
      <c r="E26" s="65"/>
      <c r="F26" s="65"/>
      <c r="G26" s="65"/>
      <c r="H26" s="65"/>
      <c r="I26" s="644">
        <f t="shared" si="0"/>
        <v>-2015</v>
      </c>
      <c r="J26" s="645"/>
      <c r="K26" s="65"/>
      <c r="L26" s="65"/>
      <c r="M26" s="49"/>
      <c r="N26" s="49">
        <f t="shared" si="1"/>
        <v>0</v>
      </c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13.5">
      <c r="A27" s="90">
        <v>7</v>
      </c>
      <c r="B27" s="65"/>
      <c r="C27" s="65"/>
      <c r="D27" s="65"/>
      <c r="E27" s="65"/>
      <c r="F27" s="65"/>
      <c r="G27" s="65"/>
      <c r="H27" s="65"/>
      <c r="I27" s="644">
        <f t="shared" si="0"/>
        <v>-2015</v>
      </c>
      <c r="J27" s="645"/>
      <c r="K27" s="65"/>
      <c r="L27" s="65"/>
      <c r="M27" s="49"/>
      <c r="N27" s="49">
        <f t="shared" si="1"/>
        <v>0</v>
      </c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44.25">
      <c r="A28" s="642"/>
      <c r="B28" s="643" t="s">
        <v>777</v>
      </c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</row>
    <row r="29" spans="1:23" ht="13.5">
      <c r="A29" s="47">
        <v>1</v>
      </c>
      <c r="B29" s="65"/>
      <c r="C29" s="65"/>
      <c r="D29" s="65"/>
      <c r="E29" s="65"/>
      <c r="F29" s="65"/>
      <c r="G29" s="65"/>
      <c r="H29" s="65"/>
      <c r="I29" s="644">
        <f aca="true" t="shared" si="2" ref="I29:I35">10-($I$17-H29)</f>
        <v>-2015</v>
      </c>
      <c r="J29" s="645"/>
      <c r="K29" s="65"/>
      <c r="L29" s="65"/>
      <c r="M29" s="49"/>
      <c r="N29" s="49">
        <f aca="true" t="shared" si="3" ref="N29:N35">SUM(K29:M29)</f>
        <v>0</v>
      </c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13.5">
      <c r="A30" s="47">
        <v>2</v>
      </c>
      <c r="B30" s="65"/>
      <c r="C30" s="65"/>
      <c r="D30" s="65"/>
      <c r="E30" s="65"/>
      <c r="F30" s="65"/>
      <c r="G30" s="65"/>
      <c r="H30" s="65"/>
      <c r="I30" s="644">
        <f t="shared" si="2"/>
        <v>-2015</v>
      </c>
      <c r="J30" s="645"/>
      <c r="K30" s="65"/>
      <c r="L30" s="65"/>
      <c r="M30" s="49"/>
      <c r="N30" s="49">
        <f t="shared" si="3"/>
        <v>0</v>
      </c>
      <c r="O30" s="65"/>
      <c r="P30" s="65"/>
      <c r="Q30" s="65"/>
      <c r="R30" s="65"/>
      <c r="S30" s="65"/>
      <c r="T30" s="65"/>
      <c r="U30" s="65"/>
      <c r="V30" s="65"/>
      <c r="W30" s="65"/>
    </row>
    <row r="31" spans="1:23" ht="13.5">
      <c r="A31" s="47">
        <v>3</v>
      </c>
      <c r="B31" s="65"/>
      <c r="C31" s="65"/>
      <c r="D31" s="65"/>
      <c r="E31" s="65"/>
      <c r="F31" s="65"/>
      <c r="G31" s="65"/>
      <c r="H31" s="65"/>
      <c r="I31" s="644">
        <f t="shared" si="2"/>
        <v>-2015</v>
      </c>
      <c r="J31" s="645"/>
      <c r="K31" s="65"/>
      <c r="L31" s="65"/>
      <c r="M31" s="49"/>
      <c r="N31" s="49">
        <f t="shared" si="3"/>
        <v>0</v>
      </c>
      <c r="O31" s="65"/>
      <c r="P31" s="65"/>
      <c r="Q31" s="65"/>
      <c r="R31" s="65"/>
      <c r="S31" s="65"/>
      <c r="T31" s="65"/>
      <c r="U31" s="65"/>
      <c r="V31" s="65"/>
      <c r="W31" s="65"/>
    </row>
    <row r="32" spans="1:23" ht="13.5">
      <c r="A32" s="90">
        <v>4</v>
      </c>
      <c r="B32" s="65"/>
      <c r="C32" s="65"/>
      <c r="D32" s="65"/>
      <c r="E32" s="65"/>
      <c r="F32" s="65"/>
      <c r="G32" s="65"/>
      <c r="H32" s="65"/>
      <c r="I32" s="644">
        <f t="shared" si="2"/>
        <v>-2015</v>
      </c>
      <c r="J32" s="645"/>
      <c r="K32" s="65"/>
      <c r="L32" s="65"/>
      <c r="M32" s="49"/>
      <c r="N32" s="49">
        <f t="shared" si="3"/>
        <v>0</v>
      </c>
      <c r="O32" s="65"/>
      <c r="P32" s="65"/>
      <c r="Q32" s="65"/>
      <c r="R32" s="65"/>
      <c r="S32" s="65"/>
      <c r="T32" s="65"/>
      <c r="U32" s="65"/>
      <c r="V32" s="65"/>
      <c r="W32" s="65"/>
    </row>
    <row r="33" spans="1:23" ht="13.5">
      <c r="A33" s="90">
        <v>5</v>
      </c>
      <c r="B33" s="65"/>
      <c r="C33" s="65"/>
      <c r="D33" s="65"/>
      <c r="E33" s="65"/>
      <c r="F33" s="65"/>
      <c r="G33" s="65"/>
      <c r="H33" s="65"/>
      <c r="I33" s="644">
        <f t="shared" si="2"/>
        <v>-2015</v>
      </c>
      <c r="J33" s="645"/>
      <c r="K33" s="65"/>
      <c r="L33" s="65"/>
      <c r="M33" s="49"/>
      <c r="N33" s="49">
        <f t="shared" si="3"/>
        <v>0</v>
      </c>
      <c r="O33" s="65"/>
      <c r="P33" s="65"/>
      <c r="Q33" s="65"/>
      <c r="R33" s="65"/>
      <c r="S33" s="65"/>
      <c r="T33" s="65"/>
      <c r="U33" s="65"/>
      <c r="V33" s="65"/>
      <c r="W33" s="65"/>
    </row>
    <row r="34" spans="1:23" ht="13.5">
      <c r="A34" s="90">
        <v>6</v>
      </c>
      <c r="B34" s="65"/>
      <c r="C34" s="65"/>
      <c r="D34" s="65"/>
      <c r="E34" s="65"/>
      <c r="F34" s="65"/>
      <c r="G34" s="65"/>
      <c r="H34" s="65"/>
      <c r="I34" s="644">
        <f t="shared" si="2"/>
        <v>-2015</v>
      </c>
      <c r="J34" s="645"/>
      <c r="K34" s="65"/>
      <c r="L34" s="65"/>
      <c r="M34" s="49"/>
      <c r="N34" s="49">
        <f t="shared" si="3"/>
        <v>0</v>
      </c>
      <c r="O34" s="65"/>
      <c r="P34" s="65"/>
      <c r="Q34" s="65"/>
      <c r="R34" s="65"/>
      <c r="S34" s="65"/>
      <c r="T34" s="65"/>
      <c r="U34" s="65"/>
      <c r="V34" s="65"/>
      <c r="W34" s="65"/>
    </row>
    <row r="35" spans="1:23" ht="13.5">
      <c r="A35" s="90">
        <v>7</v>
      </c>
      <c r="B35" s="65"/>
      <c r="C35" s="65"/>
      <c r="D35" s="65"/>
      <c r="E35" s="65"/>
      <c r="F35" s="65"/>
      <c r="G35" s="65"/>
      <c r="H35" s="65"/>
      <c r="I35" s="644">
        <f t="shared" si="2"/>
        <v>-2015</v>
      </c>
      <c r="J35" s="645"/>
      <c r="K35" s="65"/>
      <c r="L35" s="65"/>
      <c r="M35" s="49"/>
      <c r="N35" s="49">
        <f t="shared" si="3"/>
        <v>0</v>
      </c>
      <c r="O35" s="65"/>
      <c r="P35" s="65"/>
      <c r="Q35" s="65"/>
      <c r="R35" s="65"/>
      <c r="S35" s="65"/>
      <c r="T35" s="65"/>
      <c r="U35" s="65"/>
      <c r="V35" s="65"/>
      <c r="W35" s="65"/>
    </row>
    <row r="36" spans="1:23" ht="14.25">
      <c r="A36" s="646"/>
      <c r="B36" s="647" t="s">
        <v>778</v>
      </c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</row>
    <row r="37" spans="1:23" ht="13.5">
      <c r="A37" s="90">
        <v>1</v>
      </c>
      <c r="B37" s="65"/>
      <c r="C37" s="65"/>
      <c r="D37" s="65"/>
      <c r="E37" s="65"/>
      <c r="F37" s="65"/>
      <c r="G37" s="65"/>
      <c r="H37" s="65"/>
      <c r="I37" s="644">
        <f aca="true" t="shared" si="4" ref="I37:I43">10-($I$17-H37)</f>
        <v>-2015</v>
      </c>
      <c r="J37" s="645"/>
      <c r="K37" s="65"/>
      <c r="L37" s="65"/>
      <c r="M37" s="49"/>
      <c r="N37" s="49">
        <f aca="true" t="shared" si="5" ref="N37:N43">SUM(K37:M37)</f>
        <v>0</v>
      </c>
      <c r="O37" s="65"/>
      <c r="P37" s="65"/>
      <c r="Q37" s="65"/>
      <c r="R37" s="65"/>
      <c r="S37" s="65"/>
      <c r="T37" s="65"/>
      <c r="U37" s="65"/>
      <c r="V37" s="65"/>
      <c r="W37" s="65"/>
    </row>
    <row r="38" spans="1:23" ht="13.5">
      <c r="A38" s="90">
        <v>2</v>
      </c>
      <c r="B38" s="65"/>
      <c r="C38" s="65"/>
      <c r="D38" s="65"/>
      <c r="E38" s="65"/>
      <c r="F38" s="65"/>
      <c r="G38" s="65"/>
      <c r="H38" s="65"/>
      <c r="I38" s="644">
        <f t="shared" si="4"/>
        <v>-2015</v>
      </c>
      <c r="J38" s="645"/>
      <c r="K38" s="65"/>
      <c r="L38" s="65"/>
      <c r="M38" s="49"/>
      <c r="N38" s="49">
        <f t="shared" si="5"/>
        <v>0</v>
      </c>
      <c r="O38" s="65"/>
      <c r="P38" s="65"/>
      <c r="Q38" s="65"/>
      <c r="R38" s="65"/>
      <c r="S38" s="65"/>
      <c r="T38" s="65"/>
      <c r="U38" s="65"/>
      <c r="V38" s="65"/>
      <c r="W38" s="65"/>
    </row>
    <row r="39" spans="1:23" ht="13.5">
      <c r="A39" s="90">
        <v>3</v>
      </c>
      <c r="B39" s="65"/>
      <c r="C39" s="65"/>
      <c r="D39" s="65"/>
      <c r="E39" s="65"/>
      <c r="F39" s="65"/>
      <c r="G39" s="65"/>
      <c r="H39" s="65"/>
      <c r="I39" s="644">
        <f t="shared" si="4"/>
        <v>-2015</v>
      </c>
      <c r="J39" s="645"/>
      <c r="K39" s="65"/>
      <c r="L39" s="65"/>
      <c r="M39" s="49"/>
      <c r="N39" s="49">
        <f t="shared" si="5"/>
        <v>0</v>
      </c>
      <c r="O39" s="65"/>
      <c r="P39" s="65"/>
      <c r="Q39" s="65"/>
      <c r="R39" s="65"/>
      <c r="S39" s="65"/>
      <c r="T39" s="65"/>
      <c r="U39" s="65"/>
      <c r="V39" s="65"/>
      <c r="W39" s="65"/>
    </row>
    <row r="40" spans="1:23" ht="13.5">
      <c r="A40" s="90">
        <v>4</v>
      </c>
      <c r="B40" s="65"/>
      <c r="C40" s="65"/>
      <c r="D40" s="65"/>
      <c r="E40" s="65"/>
      <c r="F40" s="65"/>
      <c r="G40" s="65"/>
      <c r="H40" s="65"/>
      <c r="I40" s="644">
        <f t="shared" si="4"/>
        <v>-2015</v>
      </c>
      <c r="J40" s="645"/>
      <c r="K40" s="65"/>
      <c r="L40" s="65"/>
      <c r="M40" s="49"/>
      <c r="N40" s="49">
        <f t="shared" si="5"/>
        <v>0</v>
      </c>
      <c r="O40" s="65"/>
      <c r="P40" s="65"/>
      <c r="Q40" s="65"/>
      <c r="R40" s="65"/>
      <c r="S40" s="65"/>
      <c r="T40" s="65"/>
      <c r="U40" s="648"/>
      <c r="V40" s="65"/>
      <c r="W40" s="65"/>
    </row>
    <row r="41" spans="1:23" ht="13.5">
      <c r="A41" s="90">
        <v>5</v>
      </c>
      <c r="B41" s="65"/>
      <c r="C41" s="65"/>
      <c r="D41" s="65"/>
      <c r="E41" s="65"/>
      <c r="F41" s="65"/>
      <c r="G41" s="65"/>
      <c r="H41" s="65"/>
      <c r="I41" s="644">
        <f t="shared" si="4"/>
        <v>-2015</v>
      </c>
      <c r="J41" s="65"/>
      <c r="K41" s="65"/>
      <c r="L41" s="65"/>
      <c r="M41" s="49"/>
      <c r="N41" s="49">
        <f t="shared" si="5"/>
        <v>0</v>
      </c>
      <c r="O41" s="65"/>
      <c r="P41" s="65"/>
      <c r="Q41" s="65"/>
      <c r="R41" s="65"/>
      <c r="S41" s="65"/>
      <c r="T41" s="65"/>
      <c r="U41" s="648"/>
      <c r="V41" s="65"/>
      <c r="W41" s="65"/>
    </row>
    <row r="42" spans="1:23" ht="13.5">
      <c r="A42" s="90">
        <v>6</v>
      </c>
      <c r="B42" s="65"/>
      <c r="C42" s="65"/>
      <c r="D42" s="65"/>
      <c r="E42" s="65"/>
      <c r="F42" s="65"/>
      <c r="G42" s="65"/>
      <c r="H42" s="65"/>
      <c r="I42" s="644">
        <f t="shared" si="4"/>
        <v>-2015</v>
      </c>
      <c r="J42" s="65"/>
      <c r="K42" s="65"/>
      <c r="L42" s="65"/>
      <c r="M42" s="49"/>
      <c r="N42" s="49">
        <f t="shared" si="5"/>
        <v>0</v>
      </c>
      <c r="O42" s="65"/>
      <c r="P42" s="65"/>
      <c r="Q42" s="65"/>
      <c r="R42" s="65"/>
      <c r="S42" s="65"/>
      <c r="T42" s="65"/>
      <c r="U42" s="648"/>
      <c r="V42" s="65"/>
      <c r="W42" s="65"/>
    </row>
    <row r="43" spans="1:23" ht="13.5">
      <c r="A43" s="90">
        <v>7</v>
      </c>
      <c r="B43" s="65"/>
      <c r="C43" s="65"/>
      <c r="D43" s="65"/>
      <c r="E43" s="65"/>
      <c r="F43" s="65"/>
      <c r="G43" s="65"/>
      <c r="H43" s="65"/>
      <c r="I43" s="644">
        <f t="shared" si="4"/>
        <v>-2015</v>
      </c>
      <c r="J43" s="65"/>
      <c r="K43" s="65"/>
      <c r="L43" s="65"/>
      <c r="M43" s="49"/>
      <c r="N43" s="49">
        <f t="shared" si="5"/>
        <v>0</v>
      </c>
      <c r="O43" s="65"/>
      <c r="P43" s="65"/>
      <c r="Q43" s="65"/>
      <c r="R43" s="65"/>
      <c r="S43" s="65"/>
      <c r="T43" s="65"/>
      <c r="U43" s="648"/>
      <c r="V43" s="65"/>
      <c r="W43" s="65"/>
    </row>
    <row r="44" spans="1:21" ht="13.5">
      <c r="A44" s="138"/>
      <c r="B44" s="121"/>
      <c r="C44" s="121"/>
      <c r="D44" s="121"/>
      <c r="E44" s="121"/>
      <c r="F44" s="121"/>
      <c r="G44" s="121"/>
      <c r="H44" s="121"/>
      <c r="I44" s="649"/>
      <c r="J44" s="649"/>
      <c r="K44" s="121"/>
      <c r="L44" s="121"/>
      <c r="M44" s="649"/>
      <c r="N44" s="121"/>
      <c r="O44" s="649"/>
      <c r="P44" s="121"/>
      <c r="Q44" s="121"/>
      <c r="R44" s="121"/>
      <c r="S44" s="121"/>
      <c r="T44" s="121"/>
      <c r="U44" s="650"/>
    </row>
    <row r="45" spans="1:21" s="651" customFormat="1" ht="13.5">
      <c r="A45" s="138"/>
      <c r="B45" s="121"/>
      <c r="C45" s="121"/>
      <c r="D45" s="121"/>
      <c r="E45" s="121"/>
      <c r="F45" s="121"/>
      <c r="G45" s="121"/>
      <c r="H45" s="121"/>
      <c r="I45" s="649"/>
      <c r="J45" s="121"/>
      <c r="K45" s="121"/>
      <c r="L45" s="121"/>
      <c r="M45" s="649"/>
      <c r="N45" s="121"/>
      <c r="O45" s="121"/>
      <c r="P45" s="121"/>
      <c r="Q45" s="121"/>
      <c r="R45" s="121"/>
      <c r="S45" s="121"/>
      <c r="T45" s="121"/>
      <c r="U45" s="650"/>
    </row>
    <row r="46" spans="1:21" s="651" customFormat="1" ht="14.25">
      <c r="A46" s="652" t="s">
        <v>6</v>
      </c>
      <c r="B46" s="653" t="s">
        <v>779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650"/>
    </row>
    <row r="47" spans="1:21" s="651" customFormat="1" ht="14.25">
      <c r="A47" s="652"/>
      <c r="B47" s="121" t="s">
        <v>780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650"/>
    </row>
    <row r="48" spans="1:21" s="651" customFormat="1" ht="17.25">
      <c r="A48" s="654">
        <v>1</v>
      </c>
      <c r="B48" s="121" t="s">
        <v>781</v>
      </c>
      <c r="I48" s="121"/>
      <c r="J48" s="121"/>
      <c r="K48" s="121"/>
      <c r="L48" s="121"/>
      <c r="M48" s="121"/>
      <c r="N48" s="121"/>
      <c r="U48" s="655"/>
    </row>
    <row r="49" spans="1:21" s="651" customFormat="1" ht="17.25">
      <c r="A49" s="654">
        <v>2</v>
      </c>
      <c r="B49" s="121" t="s">
        <v>782</v>
      </c>
      <c r="I49" s="121"/>
      <c r="K49" s="121"/>
      <c r="L49" s="121"/>
      <c r="M49" s="121"/>
      <c r="N49" s="121"/>
      <c r="U49" s="655"/>
    </row>
    <row r="50" spans="1:21" s="651" customFormat="1" ht="17.25">
      <c r="A50" s="654">
        <v>2</v>
      </c>
      <c r="B50" s="121" t="s">
        <v>783</v>
      </c>
      <c r="I50" s="121"/>
      <c r="K50" s="121"/>
      <c r="L50" s="121"/>
      <c r="M50" s="121"/>
      <c r="N50" s="121"/>
      <c r="U50" s="655"/>
    </row>
    <row r="51" spans="1:21" s="651" customFormat="1" ht="17.25">
      <c r="A51" s="656">
        <v>3</v>
      </c>
      <c r="B51" s="121" t="s">
        <v>784</v>
      </c>
      <c r="I51" s="121"/>
      <c r="K51" s="121"/>
      <c r="L51" s="121"/>
      <c r="M51" s="121"/>
      <c r="N51" s="121"/>
      <c r="U51" s="655"/>
    </row>
    <row r="52" spans="2:21" s="651" customFormat="1" ht="25.5" customHeight="1">
      <c r="B52" s="121" t="s">
        <v>785</v>
      </c>
      <c r="I52" s="121"/>
      <c r="K52" s="121"/>
      <c r="L52" s="121"/>
      <c r="M52" s="121"/>
      <c r="N52" s="121"/>
      <c r="U52" s="655"/>
    </row>
    <row r="53" spans="9:21" s="651" customFormat="1" ht="13.5">
      <c r="I53" s="121"/>
      <c r="K53" s="121"/>
      <c r="L53" s="121"/>
      <c r="M53" s="121"/>
      <c r="N53" s="121"/>
      <c r="U53" s="655"/>
    </row>
    <row r="54" spans="2:21" s="651" customFormat="1" ht="14.25">
      <c r="B54" s="657" t="s">
        <v>575</v>
      </c>
      <c r="I54" s="121"/>
      <c r="K54" s="121"/>
      <c r="L54" s="121"/>
      <c r="M54" s="121"/>
      <c r="N54" s="121"/>
      <c r="U54" s="655"/>
    </row>
    <row r="55" spans="2:21" s="651" customFormat="1" ht="13.5">
      <c r="B55" s="121"/>
      <c r="C55" s="121"/>
      <c r="D55" s="121"/>
      <c r="E55" s="121"/>
      <c r="F55" s="121"/>
      <c r="G55" s="121"/>
      <c r="H55" s="121"/>
      <c r="I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650"/>
    </row>
    <row r="56" spans="1:21" s="651" customFormat="1" ht="14.25">
      <c r="A56" s="652"/>
      <c r="J56" s="121"/>
      <c r="U56" s="655"/>
    </row>
    <row r="57" spans="1:21" s="651" customFormat="1" ht="13.5">
      <c r="A57" s="121"/>
      <c r="C57" s="121"/>
      <c r="D57" s="121"/>
      <c r="E57" s="121"/>
      <c r="F57" s="121"/>
      <c r="G57" s="121"/>
      <c r="H57" s="121"/>
      <c r="I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650"/>
    </row>
    <row r="58" spans="10:21" s="651" customFormat="1" ht="13.5">
      <c r="J58" s="121"/>
      <c r="U58" s="655"/>
    </row>
    <row r="59" spans="2:21" s="651" customFormat="1" ht="86.25" hidden="1">
      <c r="B59" s="349" t="s">
        <v>786</v>
      </c>
      <c r="C59" s="349" t="s">
        <v>787</v>
      </c>
      <c r="D59" s="349" t="s">
        <v>788</v>
      </c>
      <c r="E59" s="349" t="s">
        <v>789</v>
      </c>
      <c r="U59" s="655"/>
    </row>
    <row r="60" spans="2:10" ht="17.25" hidden="1">
      <c r="B60" s="522" t="s">
        <v>790</v>
      </c>
      <c r="C60" s="522" t="s">
        <v>791</v>
      </c>
      <c r="D60" s="522" t="s">
        <v>792</v>
      </c>
      <c r="E60" s="522" t="s">
        <v>793</v>
      </c>
      <c r="J60" s="651"/>
    </row>
    <row r="61" spans="2:5" ht="17.25" hidden="1">
      <c r="B61" s="522" t="s">
        <v>794</v>
      </c>
      <c r="C61" s="522" t="s">
        <v>795</v>
      </c>
      <c r="D61" s="522" t="s">
        <v>796</v>
      </c>
      <c r="E61" s="522" t="s">
        <v>797</v>
      </c>
    </row>
    <row r="62" spans="2:5" ht="17.25" hidden="1">
      <c r="B62" s="522" t="s">
        <v>798</v>
      </c>
      <c r="C62" s="522" t="s">
        <v>799</v>
      </c>
      <c r="D62" s="522" t="s">
        <v>800</v>
      </c>
      <c r="E62" s="522"/>
    </row>
    <row r="63" spans="2:4" ht="17.25" hidden="1">
      <c r="B63" s="522" t="s">
        <v>801</v>
      </c>
      <c r="C63" s="522" t="s">
        <v>802</v>
      </c>
      <c r="D63" s="522" t="s">
        <v>803</v>
      </c>
    </row>
    <row r="64" spans="2:4" ht="17.25" hidden="1">
      <c r="B64" s="522" t="s">
        <v>804</v>
      </c>
      <c r="C64" s="522" t="s">
        <v>805</v>
      </c>
      <c r="D64" s="658" t="s">
        <v>806</v>
      </c>
    </row>
    <row r="65" spans="2:4" ht="17.25" hidden="1">
      <c r="B65" s="522" t="s">
        <v>166</v>
      </c>
      <c r="C65" s="659"/>
      <c r="D65" s="660"/>
    </row>
    <row r="66" ht="12.75" hidden="1"/>
    <row r="67" ht="86.25" hidden="1">
      <c r="B67" s="349" t="s">
        <v>807</v>
      </c>
    </row>
    <row r="68" ht="17.25" hidden="1">
      <c r="B68" s="661" t="s">
        <v>808</v>
      </c>
    </row>
    <row r="69" ht="34.5" hidden="1">
      <c r="B69" s="661" t="s">
        <v>809</v>
      </c>
    </row>
    <row r="70" ht="34.5" hidden="1">
      <c r="B70" s="661" t="s">
        <v>810</v>
      </c>
    </row>
    <row r="71" ht="17.25" hidden="1">
      <c r="B71" s="661" t="s">
        <v>811</v>
      </c>
    </row>
    <row r="72" ht="12.75" hidden="1"/>
    <row r="73" ht="12.75" hidden="1"/>
  </sheetData>
  <sheetProtection/>
  <mergeCells count="7">
    <mergeCell ref="O14:R14"/>
    <mergeCell ref="S14:V14"/>
    <mergeCell ref="W14:W15"/>
    <mergeCell ref="K3:M3"/>
    <mergeCell ref="C14:I14"/>
    <mergeCell ref="J14:J15"/>
    <mergeCell ref="K14:N14"/>
  </mergeCells>
  <conditionalFormatting sqref="I19 I21 I23:I27">
    <cfRule type="cellIs" priority="8" dxfId="0" operator="equal" stopIfTrue="1">
      <formula>-2014</formula>
    </cfRule>
  </conditionalFormatting>
  <conditionalFormatting sqref="I19 I21 I23:I27">
    <cfRule type="cellIs" priority="7" dxfId="0" operator="equal" stopIfTrue="1">
      <formula>-2015</formula>
    </cfRule>
  </conditionalFormatting>
  <conditionalFormatting sqref="I29:I35">
    <cfRule type="cellIs" priority="5" dxfId="0" operator="equal" stopIfTrue="1">
      <formula>-2015</formula>
    </cfRule>
  </conditionalFormatting>
  <conditionalFormatting sqref="I29:I35">
    <cfRule type="cellIs" priority="6" dxfId="0" operator="equal" stopIfTrue="1">
      <formula>-2014</formula>
    </cfRule>
  </conditionalFormatting>
  <conditionalFormatting sqref="I37:I43">
    <cfRule type="cellIs" priority="4" dxfId="0" operator="equal" stopIfTrue="1">
      <formula>-2014</formula>
    </cfRule>
  </conditionalFormatting>
  <conditionalFormatting sqref="I37:I43">
    <cfRule type="cellIs" priority="3" dxfId="0" operator="equal" stopIfTrue="1">
      <formula>-2015</formula>
    </cfRule>
  </conditionalFormatting>
  <conditionalFormatting sqref="I22">
    <cfRule type="cellIs" priority="2" dxfId="0" operator="equal" stopIfTrue="1">
      <formula>-2014</formula>
    </cfRule>
  </conditionalFormatting>
  <conditionalFormatting sqref="I22">
    <cfRule type="cellIs" priority="1" dxfId="0" operator="equal" stopIfTrue="1">
      <formula>-2015</formula>
    </cfRule>
  </conditionalFormatting>
  <dataValidations count="5">
    <dataValidation type="list" allowBlank="1" showInputMessage="1" showErrorMessage="1" sqref="J19 J37:J43 J29:J35 J21:J27">
      <formula1>$B$68:$B$71</formula1>
    </dataValidation>
    <dataValidation type="list" allowBlank="1" showInputMessage="1" showErrorMessage="1" sqref="G19 G21:G27 G29:G35 G37:G43 U40:U43 Q40:Q43">
      <formula1>$E$60:$E$61</formula1>
    </dataValidation>
    <dataValidation type="list" allowBlank="1" showInputMessage="1" showErrorMessage="1" sqref="F19 Q21:Q27 Q29:Q35 Q19 F21:F27 F29:F35 F37:F43 U21:U27 U29:U35 U19 U37:U39 T40:T43 Q37:Q39 P40:P43">
      <formula1>$D$60:$D$64</formula1>
    </dataValidation>
    <dataValidation type="list" allowBlank="1" showInputMessage="1" showErrorMessage="1" sqref="E19 P21:P27 P29:P35 P19 E21:E27 E29:E35 E37:E43 T21:T27 T29:T35 T19 T37:T39 S40:S43 P37:P39 O40:O43">
      <formula1>$C$60:$C$64</formula1>
    </dataValidation>
    <dataValidation type="list" allowBlank="1" showInputMessage="1" showErrorMessage="1" sqref="D21:D27 O19 O29:O35 O21:O27 D37:D43 D19 D29:D35 S19 S29:S35 S21:S27 S37:S39 R40:R43 O37:O39">
      <formula1>$B$60:$B$65</formula1>
    </dataValidation>
  </dataValidations>
  <printOptions/>
  <pageMargins left="0.41" right="0.18" top="0.48" bottom="0.27" header="0.17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RePack by Diakov</cp:lastModifiedBy>
  <cp:lastPrinted>2024-02-21T06:23:34Z</cp:lastPrinted>
  <dcterms:created xsi:type="dcterms:W3CDTF">2003-05-20T07:22:10Z</dcterms:created>
  <dcterms:modified xsi:type="dcterms:W3CDTF">2024-03-06T13:40:29Z</dcterms:modified>
  <cp:category/>
  <cp:version/>
  <cp:contentType/>
  <cp:contentStatus/>
</cp:coreProperties>
</file>